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chevskaya\Documents\Закупки\Заказчик МУП ЦРА №350\2021\15. ТО мед.оборудования\Документы для аукциона\"/>
    </mc:Choice>
  </mc:AlternateContent>
  <bookViews>
    <workbookView xWindow="-30" yWindow="180" windowWidth="20730" windowHeight="11700"/>
  </bookViews>
  <sheets>
    <sheet name="НМЦК" sheetId="3" r:id="rId1"/>
    <sheet name="Лист1" sheetId="4" r:id="rId2"/>
  </sheets>
  <definedNames>
    <definedName name="_xlnm._FilterDatabase" localSheetId="0" hidden="1">НМЦК!$A$4:$N$26</definedName>
  </definedNames>
  <calcPr calcId="162913"/>
</workbook>
</file>

<file path=xl/calcChain.xml><?xml version="1.0" encoding="utf-8"?>
<calcChain xmlns="http://schemas.openxmlformats.org/spreadsheetml/2006/main"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5" i="3"/>
  <c r="K5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3" i="4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M23" i="3"/>
  <c r="I23" i="3"/>
  <c r="J23" i="3" s="1"/>
  <c r="M22" i="3"/>
  <c r="I22" i="3"/>
  <c r="M21" i="3"/>
  <c r="I21" i="3"/>
  <c r="J21" i="3" s="1"/>
  <c r="M20" i="3"/>
  <c r="I20" i="3"/>
  <c r="M19" i="3"/>
  <c r="I19" i="3"/>
  <c r="J19" i="3" s="1"/>
  <c r="M18" i="3"/>
  <c r="I18" i="3"/>
  <c r="M17" i="3"/>
  <c r="I17" i="3"/>
  <c r="J17" i="3" s="1"/>
  <c r="M16" i="3"/>
  <c r="I16" i="3"/>
  <c r="M15" i="3"/>
  <c r="I15" i="3"/>
  <c r="J15" i="3" s="1"/>
  <c r="M14" i="3"/>
  <c r="I14" i="3"/>
  <c r="M13" i="3"/>
  <c r="I13" i="3"/>
  <c r="J13" i="3" s="1"/>
  <c r="M12" i="3"/>
  <c r="I12" i="3"/>
  <c r="M11" i="3"/>
  <c r="I11" i="3"/>
  <c r="J11" i="3" s="1"/>
  <c r="M10" i="3"/>
  <c r="I10" i="3"/>
  <c r="M9" i="3"/>
  <c r="I9" i="3"/>
  <c r="J9" i="3" s="1"/>
  <c r="J10" i="3" l="1"/>
  <c r="J12" i="3"/>
  <c r="J14" i="3"/>
  <c r="J16" i="3"/>
  <c r="J18" i="3"/>
  <c r="J20" i="3"/>
  <c r="J22" i="3"/>
  <c r="F26" i="3"/>
  <c r="G26" i="3"/>
  <c r="E26" i="3"/>
  <c r="M25" i="3" l="1"/>
  <c r="I25" i="3"/>
  <c r="M24" i="3"/>
  <c r="I24" i="3"/>
  <c r="M8" i="3"/>
  <c r="I8" i="3"/>
  <c r="M7" i="3"/>
  <c r="I7" i="3"/>
  <c r="M6" i="3"/>
  <c r="I6" i="3"/>
  <c r="M5" i="3"/>
  <c r="I5" i="3"/>
  <c r="N26" i="3" l="1"/>
  <c r="I31" i="3" s="1"/>
  <c r="J6" i="3"/>
  <c r="J8" i="3"/>
  <c r="J7" i="3"/>
  <c r="J5" i="3"/>
  <c r="J24" i="3"/>
  <c r="J25" i="3"/>
</calcChain>
</file>

<file path=xl/sharedStrings.xml><?xml version="1.0" encoding="utf-8"?>
<sst xmlns="http://schemas.openxmlformats.org/spreadsheetml/2006/main" count="172" uniqueCount="71">
  <si>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</si>
  <si>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</si>
  <si>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</si>
  <si>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</si>
  <si>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</si>
  <si>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</si>
  <si>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</si>
  <si>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</si>
  <si>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</si>
  <si>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</si>
  <si>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Дата</t>
  </si>
  <si>
    <t xml:space="preserve">Коэффициент вариации цены не превышает 33 %, т.о совокупность цен считается однородной </t>
  </si>
  <si>
    <t>Поставщик 1
Цена, руб.</t>
  </si>
  <si>
    <t>Поставщик 2
Цена, руб.</t>
  </si>
  <si>
    <t>ВК-75-01</t>
  </si>
  <si>
    <t>АВТОКЛАВ</t>
  </si>
  <si>
    <t>ВК-75-РПЗ</t>
  </si>
  <si>
    <t>ДЭ-25М</t>
  </si>
  <si>
    <t>АКВАДИСТИЛЛЯТОР</t>
  </si>
  <si>
    <t>ДЭ-60</t>
  </si>
  <si>
    <t>АЭ-25МО</t>
  </si>
  <si>
    <t>ШС-80</t>
  </si>
  <si>
    <t>Сушильный шкаф</t>
  </si>
  <si>
    <t>ПОК-1</t>
  </si>
  <si>
    <t>ОБКАТОЧНАЯ МАШИНКА</t>
  </si>
  <si>
    <t xml:space="preserve">ХФ-400 «ПОЗИС» </t>
  </si>
  <si>
    <t>ХОЛОДИЛЬНИК ФАРМАЦЕВТИЧСКИЙ</t>
  </si>
  <si>
    <t>ХФ-250 «ПОЗИС»</t>
  </si>
  <si>
    <t>КОНТУР П4</t>
  </si>
  <si>
    <t>УСТАНОВКА ДЛЯ ФИЛЬТРОВАНИЯ И РАЗЛИВА ЖИДКОСТЕЙ</t>
  </si>
  <si>
    <t>СУШИЛЬНЫЙ ШКАФ</t>
  </si>
  <si>
    <t>ДЕЗАР-5</t>
  </si>
  <si>
    <t>ОБЛУЧАТЕЛЬ-РЕЦИРКУЛЯТОР ВОЗДУХА УФ БАКТЕРИЦИДНЫЙ</t>
  </si>
  <si>
    <t>ИРФ-454 Б2М</t>
  </si>
  <si>
    <t>РЕФРАКТОМЕТР</t>
  </si>
  <si>
    <t>МЗ-400Е3</t>
  </si>
  <si>
    <t>АППАРАТ УКУПОРОЧНЫЙ</t>
  </si>
  <si>
    <t>ПЗР-34-ВИПС</t>
  </si>
  <si>
    <t>ПОЛУАВТОМАТ УКУПОРОЧНЫЙ</t>
  </si>
  <si>
    <t xml:space="preserve"> </t>
  </si>
  <si>
    <t xml:space="preserve">, </t>
  </si>
  <si>
    <t xml:space="preserve"> г.в.</t>
  </si>
  <si>
    <t>АВТОКЛАВ ВК-75-01, 2015 г.в.</t>
  </si>
  <si>
    <t>АВТОКЛАВ ВК-75-РПЗ, 2012 г.в.</t>
  </si>
  <si>
    <t>АВТОКЛАВ ВК-75-01, 2012 г.в.</t>
  </si>
  <si>
    <t>АКВАДИСТИЛЛЯТОР ДЭ-25М, 2015 г.в.</t>
  </si>
  <si>
    <t>АКВАДИСТИЛЛЯТОР ДЭ-60, 2013 г.в.</t>
  </si>
  <si>
    <t>АКВАДИСТИЛЛЯТОР АЭ-25МО, 2013 г.в.</t>
  </si>
  <si>
    <t>ОБКАТОЧНАЯ МАШИНКА ПОК-1, 2016 г.в.</t>
  </si>
  <si>
    <t>ХОЛОДИЛЬНИК ФАРМАЦЕВТИЧСКИЙ ХФ-400 «ПОЗИС» , 2010 г.в.</t>
  </si>
  <si>
    <t>ХОЛОДИЛЬНИК ФАРМАЦЕВТИЧСКИЙ ХФ-250 «ПОЗИС», 2010 г.в.</t>
  </si>
  <si>
    <t>УСТАНОВКА ДЛЯ ФИЛЬТРОВАНИЯ И РАЗЛИВА ЖИДКОСТЕЙ КОНТУР П4, 2013 г.в.</t>
  </si>
  <si>
    <t>СУШИЛЬНЫЙ ШКАФ ШС-80, 2013 г.в.</t>
  </si>
  <si>
    <t>СУШИЛЬНЫЙ ШКАФ ШС-80, 2015 г.в.</t>
  </si>
  <si>
    <t>ОБЛУЧАТЕЛЬ-РЕЦИРКУЛЯТОР ВОЗДУХА УФ БАКТЕРИЦИДНЫЙ ДЕЗАР-5, 2013 г.в.</t>
  </si>
  <si>
    <t>РЕФРАКТОМЕТР ИРФ-454 Б2М, 2013 г.в.</t>
  </si>
  <si>
    <t>АППАРАТ УКУПОРОЧНЫЙ МЗ-400Е3, 2008 г.в.</t>
  </si>
  <si>
    <t>ПОЛУАВТОМАТ УКУПОРОЧНЫЙ ПЗР-34-ВИПС, 2013 г.в.</t>
  </si>
  <si>
    <t>месяц</t>
  </si>
  <si>
    <t>Оценка однородности совокупности значений выявленных цен, используемых в расчете Н(М)ЦД</t>
  </si>
  <si>
    <t>Расчет Н(М)ЦД по формуле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</si>
  <si>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Рассчет Н(М)ЦД произвел:</t>
  </si>
  <si>
    <t>Расчёт начальной (максимальной) цены договора (Н(М)ЦД)</t>
  </si>
  <si>
    <t>Наименование предмета договора</t>
  </si>
  <si>
    <t>Н(М)ЦД договора с учетом округления цены за единицу (руб.)</t>
  </si>
  <si>
    <t>В результате проведенного расчета Н(М)Ц договора составляет:</t>
  </si>
  <si>
    <t>Н(М)ЦД,  определяемая методом сопоставимых рыночных цен (анализа рынка)</t>
  </si>
  <si>
    <t>Итоговые суммы с учётом количества единиц товаров (работ, услуг):</t>
  </si>
  <si>
    <t>РД
Цена, руб.</t>
  </si>
  <si>
    <t>СУШИЛЬНЫЙ ШКАФ ШС-80, 2016 г.в.</t>
  </si>
  <si>
    <t>08.09.2021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</si>
</sst>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2">
    <xf numFmtId="0" fontId="0" fillId="0" borderId="0" xfId="0"/>
    <xf numFmtId="0" fontId="6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4" fontId="7" fillId="0" borderId="0" xfId="0" applyNumberFormat="1" applyFont="1" applyAlignment="1"/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16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6953250" cy="3542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0" y="11782425"/>
              <a:ext cx="6953250" cy="354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ru-RU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НМЦК</m:t>
                      </m:r>
                    </m:e>
                    <m:sup>
                      <m:r>
                        <a:rPr lang="ru-RU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рын</m:t>
                      </m:r>
                      <m:r>
                        <m:rPr>
                          <m:nor/>
                        </m:rPr>
                        <a:rPr lang="ru-RU" sz="1200">
                          <a:effectLst/>
                          <a:latin typeface="Times New Roman" panose="02020603050405020304" pitchFamily="18" charset="0"/>
                          <a:cs typeface="Times New Roman" panose="02020603050405020304" pitchFamily="18" charset="0"/>
                        </a:rPr>
                        <m:t> </m:t>
                      </m:r>
                    </m:sup>
                  </m:sSup>
                  <m:r>
                    <a:rPr lang="ru-RU" sz="12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ru-RU" sz="1200" b="0" i="1">
                          <a:latin typeface="Cambria Math"/>
                        </a:rPr>
                        <m:t>1</m:t>
                      </m:r>
                    </m:num>
                    <m:den>
                      <m:r>
                        <a:rPr lang="ru-RU" sz="1200" b="0" i="1">
                          <a:latin typeface="Cambria Math"/>
                        </a:rPr>
                        <m:t>3</m:t>
                      </m:r>
                    </m:den>
                  </m:f>
                  <m:r>
                    <a:rPr lang="ru-RU" sz="1200" b="0" i="1">
                      <a:latin typeface="Cambria Math"/>
                    </a:rPr>
                    <m:t>∗</m:t>
                  </m:r>
                </m:oMath>
              </a14:m>
              <a:r>
                <a:rPr lang="ru-RU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(198900,00</a:t>
              </a:r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+</a:t>
              </a:r>
              <a:r>
                <a:rPr lang="ru-RU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204055,38+179009,16)=193988,28 р.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0" y="11782425"/>
              <a:ext cx="6953250" cy="354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〖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НМЦК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рын"</a:t>
              </a:r>
              <a:r>
                <a:rPr lang="ru-RU" sz="1200" i="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ru-RU" sz="1200" i="0"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ru-RU" sz="1200" b="0" i="0">
                  <a:latin typeface="Cambria Math"/>
                </a:rPr>
                <a:t>=1</a:t>
              </a:r>
              <a:r>
                <a:rPr lang="ru-RU" sz="1200" b="0" i="0">
                  <a:latin typeface="Cambria Math" panose="02040503050406030204" pitchFamily="18" charset="0"/>
                </a:rPr>
                <a:t>/</a:t>
              </a:r>
              <a:r>
                <a:rPr lang="ru-RU" sz="1200" b="0" i="0">
                  <a:latin typeface="Cambria Math"/>
                </a:rPr>
                <a:t>3∗</a:t>
              </a:r>
              <a:r>
                <a:rPr lang="ru-RU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(198900,00</a:t>
              </a:r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+</a:t>
              </a:r>
              <a:r>
                <a:rPr lang="ru-RU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204055,38+179009,16)=193988,28 р.</a:t>
              </a:r>
            </a:p>
          </xdr:txBody>
        </xdr:sp>
      </mc:Fallback>
    </mc:AlternateContent>
    <xdr:clientData/>
  </xdr:oneCellAnchor>
  <xdr:twoCellAnchor editAs="oneCell">
    <xdr:from>
      <xdr:col>7</xdr:col>
      <xdr:colOff>904875</xdr:colOff>
      <xdr:row>2</xdr:row>
      <xdr:rowOff>790575</xdr:rowOff>
    </xdr:from>
    <xdr:to>
      <xdr:col>8</xdr:col>
      <xdr:colOff>619125</xdr:colOff>
      <xdr:row>2</xdr:row>
      <xdr:rowOff>1285875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2000250"/>
          <a:ext cx="628650" cy="4953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9</xdr:col>
      <xdr:colOff>152400</xdr:colOff>
      <xdr:row>2</xdr:row>
      <xdr:rowOff>1133475</xdr:rowOff>
    </xdr:from>
    <xdr:to>
      <xdr:col>9</xdr:col>
      <xdr:colOff>728345</xdr:colOff>
      <xdr:row>2</xdr:row>
      <xdr:rowOff>1437640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2343150"/>
          <a:ext cx="575945" cy="30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2</xdr:row>
      <xdr:rowOff>1285874</xdr:rowOff>
    </xdr:from>
    <xdr:to>
      <xdr:col>10</xdr:col>
      <xdr:colOff>2047875</xdr:colOff>
      <xdr:row>2</xdr:row>
      <xdr:rowOff>1600199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2495549"/>
          <a:ext cx="1485900" cy="3143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21" workbookViewId="0">
      <selection activeCell="E26" sqref="E26:N26"/>
    </sheetView>
  </sheetViews>
  <sheetFormatPr defaultRowHeight="15" x14ac:dyDescent="0.25"/>
  <cols>
    <col min="1" max="1" width="5.42578125" style="21" customWidth="1"/>
    <col min="2" max="2" width="43.42578125" customWidth="1"/>
    <col min="3" max="3" width="6.85546875" customWidth="1"/>
    <col min="4" max="4" width="6.5703125" bestFit="1" customWidth="1"/>
    <col min="5" max="5" width="11.28515625" customWidth="1"/>
    <col min="6" max="7" width="11.85546875" customWidth="1"/>
    <col min="8" max="8" width="13.7109375" customWidth="1"/>
    <col min="9" max="9" width="10.28515625" customWidth="1"/>
    <col min="10" max="10" width="13.28515625" bestFit="1" customWidth="1"/>
    <col min="11" max="11" width="33.85546875" customWidth="1"/>
    <col min="12" max="12" width="12" customWidth="1"/>
    <col min="13" max="13" width="9.28515625" bestFit="1" customWidth="1"/>
    <col min="14" max="14" width="15.42578125" customWidth="1"/>
  </cols>
  <sheetData>
    <row r="1" spans="1:14" ht="18" customHeight="1" x14ac:dyDescent="0.2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8.25" customHeight="1" x14ac:dyDescent="0.25">
      <c r="A2" s="38" t="s">
        <v>0</v>
      </c>
      <c r="B2" s="38" t="s">
        <v>63</v>
      </c>
      <c r="C2" s="39" t="s">
        <v>1</v>
      </c>
      <c r="D2" s="39" t="s">
        <v>2</v>
      </c>
      <c r="E2" s="46" t="s">
        <v>3</v>
      </c>
      <c r="F2" s="47"/>
      <c r="G2" s="47"/>
      <c r="H2" s="41" t="s">
        <v>59</v>
      </c>
      <c r="I2" s="41"/>
      <c r="J2" s="41"/>
      <c r="K2" s="45" t="s">
        <v>66</v>
      </c>
      <c r="L2" s="45"/>
      <c r="M2" s="45"/>
      <c r="N2" s="45"/>
    </row>
    <row r="3" spans="1:14" ht="127.5" x14ac:dyDescent="0.25">
      <c r="A3" s="38"/>
      <c r="B3" s="39"/>
      <c r="C3" s="40"/>
      <c r="D3" s="40"/>
      <c r="E3" s="9" t="s">
        <v>12</v>
      </c>
      <c r="F3" s="9" t="s">
        <v>13</v>
      </c>
      <c r="G3" s="9" t="s">
        <v>68</v>
      </c>
      <c r="H3" s="15" t="s">
        <v>9</v>
      </c>
      <c r="I3" s="15" t="s">
        <v>4</v>
      </c>
      <c r="J3" s="2" t="s">
        <v>5</v>
      </c>
      <c r="K3" s="7" t="s">
        <v>60</v>
      </c>
      <c r="L3" s="15" t="s">
        <v>6</v>
      </c>
      <c r="M3" s="15" t="s">
        <v>7</v>
      </c>
      <c r="N3" s="15" t="s">
        <v>64</v>
      </c>
    </row>
    <row r="4" spans="1:14" x14ac:dyDescent="0.25">
      <c r="A4" s="33"/>
      <c r="B4" s="34"/>
      <c r="C4" s="35"/>
      <c r="D4" s="35"/>
      <c r="E4" s="9"/>
      <c r="F4" s="9"/>
      <c r="G4" s="9"/>
      <c r="H4" s="32"/>
      <c r="I4" s="32"/>
      <c r="J4" s="2"/>
      <c r="K4" s="7"/>
      <c r="L4" s="32"/>
      <c r="M4" s="32"/>
      <c r="N4" s="32"/>
    </row>
    <row r="5" spans="1:14" x14ac:dyDescent="0.25">
      <c r="A5" s="19">
        <v>1</v>
      </c>
      <c r="B5" s="17" t="s">
        <v>42</v>
      </c>
      <c r="C5" s="22" t="s">
        <v>58</v>
      </c>
      <c r="D5" s="22">
        <v>18</v>
      </c>
      <c r="E5" s="26">
        <v>1000</v>
      </c>
      <c r="F5" s="26">
        <v>1000</v>
      </c>
      <c r="G5" s="26">
        <v>863.33</v>
      </c>
      <c r="H5" s="23">
        <f t="shared" ref="H5:H25" si="0">AVERAGE(E5:G5)</f>
        <v>954.44333333333327</v>
      </c>
      <c r="I5" s="28">
        <f t="shared" ref="I5:I25" si="1">_xlfn.STDEV.P(E5:G5)</f>
        <v>64.426855856510286</v>
      </c>
      <c r="J5" s="28">
        <f t="shared" ref="J5:J25" si="2">I5/H5*100</f>
        <v>6.7502023018489261</v>
      </c>
      <c r="K5" s="23">
        <f>((D5/3)*(SUM(E5:G5)))</f>
        <v>17179.98</v>
      </c>
      <c r="L5" s="23">
        <f>+K5/D5</f>
        <v>954.44333333333327</v>
      </c>
      <c r="M5" s="23">
        <f>ROUNDDOWN(L5,2)</f>
        <v>954.44</v>
      </c>
      <c r="N5" s="24">
        <f>+M5*D5</f>
        <v>17179.920000000002</v>
      </c>
    </row>
    <row r="6" spans="1:14" x14ac:dyDescent="0.25">
      <c r="A6" s="19">
        <v>2</v>
      </c>
      <c r="B6" s="17" t="s">
        <v>43</v>
      </c>
      <c r="C6" s="22" t="s">
        <v>58</v>
      </c>
      <c r="D6" s="22">
        <v>18</v>
      </c>
      <c r="E6" s="26">
        <v>1000</v>
      </c>
      <c r="F6" s="26">
        <v>1000</v>
      </c>
      <c r="G6" s="26">
        <v>863.33</v>
      </c>
      <c r="H6" s="23">
        <f t="shared" si="0"/>
        <v>954.44333333333327</v>
      </c>
      <c r="I6" s="28">
        <f t="shared" si="1"/>
        <v>64.426855856510286</v>
      </c>
      <c r="J6" s="36">
        <f t="shared" si="2"/>
        <v>6.7502023018489261</v>
      </c>
      <c r="K6" s="23">
        <f t="shared" ref="K6:K25" si="3">((D6/3)*(SUM(E6:G6)))</f>
        <v>17179.98</v>
      </c>
      <c r="L6" s="23">
        <f t="shared" ref="L6:L25" si="4">+K6/D6</f>
        <v>954.44333333333327</v>
      </c>
      <c r="M6" s="23">
        <f t="shared" ref="M6:M25" si="5">ROUNDDOWN(L6,2)</f>
        <v>954.44</v>
      </c>
      <c r="N6" s="24">
        <f t="shared" ref="N6:N25" si="6">+M6*D6</f>
        <v>17179.920000000002</v>
      </c>
    </row>
    <row r="7" spans="1:14" x14ac:dyDescent="0.25">
      <c r="A7" s="19">
        <v>3</v>
      </c>
      <c r="B7" s="17" t="s">
        <v>44</v>
      </c>
      <c r="C7" s="22" t="s">
        <v>58</v>
      </c>
      <c r="D7" s="22">
        <v>18</v>
      </c>
      <c r="E7" s="26">
        <v>1000</v>
      </c>
      <c r="F7" s="26">
        <v>827.77</v>
      </c>
      <c r="G7" s="26">
        <v>863.33</v>
      </c>
      <c r="H7" s="23">
        <f t="shared" si="0"/>
        <v>897.0333333333333</v>
      </c>
      <c r="I7" s="28">
        <f t="shared" si="1"/>
        <v>74.241629082940321</v>
      </c>
      <c r="J7" s="36">
        <f t="shared" si="2"/>
        <v>8.2763512039248255</v>
      </c>
      <c r="K7" s="23">
        <f t="shared" si="3"/>
        <v>16146.599999999999</v>
      </c>
      <c r="L7" s="23">
        <f t="shared" si="4"/>
        <v>897.0333333333333</v>
      </c>
      <c r="M7" s="23">
        <f t="shared" si="5"/>
        <v>897.03</v>
      </c>
      <c r="N7" s="24">
        <f t="shared" si="6"/>
        <v>16146.539999999999</v>
      </c>
    </row>
    <row r="8" spans="1:14" x14ac:dyDescent="0.25">
      <c r="A8" s="19">
        <v>4</v>
      </c>
      <c r="B8" s="17" t="s">
        <v>45</v>
      </c>
      <c r="C8" s="22" t="s">
        <v>58</v>
      </c>
      <c r="D8" s="22">
        <v>18</v>
      </c>
      <c r="E8" s="26">
        <v>800</v>
      </c>
      <c r="F8" s="26">
        <v>1000</v>
      </c>
      <c r="G8" s="26">
        <v>740</v>
      </c>
      <c r="H8" s="23">
        <f t="shared" si="0"/>
        <v>846.66666666666663</v>
      </c>
      <c r="I8" s="28">
        <f t="shared" si="1"/>
        <v>111.15554667022045</v>
      </c>
      <c r="J8" s="36">
        <f t="shared" si="2"/>
        <v>13.128607874435486</v>
      </c>
      <c r="K8" s="23">
        <f t="shared" si="3"/>
        <v>15240</v>
      </c>
      <c r="L8" s="23">
        <f t="shared" si="4"/>
        <v>846.66666666666663</v>
      </c>
      <c r="M8" s="23">
        <f t="shared" si="5"/>
        <v>846.66</v>
      </c>
      <c r="N8" s="24">
        <f t="shared" si="6"/>
        <v>15239.88</v>
      </c>
    </row>
    <row r="9" spans="1:14" x14ac:dyDescent="0.25">
      <c r="A9" s="19">
        <v>5</v>
      </c>
      <c r="B9" s="17" t="s">
        <v>46</v>
      </c>
      <c r="C9" s="22" t="s">
        <v>58</v>
      </c>
      <c r="D9" s="22">
        <v>18</v>
      </c>
      <c r="E9" s="26">
        <v>1000</v>
      </c>
      <c r="F9" s="26">
        <v>827.77</v>
      </c>
      <c r="G9" s="26">
        <v>823.33</v>
      </c>
      <c r="H9" s="23">
        <f t="shared" si="0"/>
        <v>883.69999999999993</v>
      </c>
      <c r="I9" s="28">
        <f t="shared" si="1"/>
        <v>82.25649275285204</v>
      </c>
      <c r="J9" s="36">
        <f t="shared" ref="J9:J23" si="7">I9/H9*100</f>
        <v>9.3081920055281255</v>
      </c>
      <c r="K9" s="23">
        <f t="shared" si="3"/>
        <v>15906.599999999999</v>
      </c>
      <c r="L9" s="23">
        <f t="shared" si="4"/>
        <v>883.69999999999993</v>
      </c>
      <c r="M9" s="23">
        <f t="shared" ref="M9:M23" si="8">ROUNDDOWN(L9,2)</f>
        <v>883.7</v>
      </c>
      <c r="N9" s="24">
        <f t="shared" si="6"/>
        <v>15906.6</v>
      </c>
    </row>
    <row r="10" spans="1:14" x14ac:dyDescent="0.25">
      <c r="A10" s="19">
        <v>6</v>
      </c>
      <c r="B10" s="17" t="s">
        <v>47</v>
      </c>
      <c r="C10" s="22" t="s">
        <v>58</v>
      </c>
      <c r="D10" s="22">
        <v>18</v>
      </c>
      <c r="E10" s="27">
        <v>800</v>
      </c>
      <c r="F10" s="26">
        <v>429.77</v>
      </c>
      <c r="G10" s="26">
        <v>740</v>
      </c>
      <c r="H10" s="23">
        <f t="shared" si="0"/>
        <v>656.59</v>
      </c>
      <c r="I10" s="28">
        <f t="shared" si="1"/>
        <v>162.24566619789891</v>
      </c>
      <c r="J10" s="36">
        <f t="shared" si="7"/>
        <v>24.710346821897822</v>
      </c>
      <c r="K10" s="23">
        <f t="shared" si="3"/>
        <v>11818.619999999999</v>
      </c>
      <c r="L10" s="23">
        <f t="shared" si="4"/>
        <v>656.58999999999992</v>
      </c>
      <c r="M10" s="23">
        <f t="shared" si="8"/>
        <v>656.59</v>
      </c>
      <c r="N10" s="24">
        <f t="shared" si="6"/>
        <v>11818.62</v>
      </c>
    </row>
    <row r="11" spans="1:14" x14ac:dyDescent="0.25">
      <c r="A11" s="19">
        <v>7</v>
      </c>
      <c r="B11" s="17" t="s">
        <v>69</v>
      </c>
      <c r="C11" s="22" t="s">
        <v>58</v>
      </c>
      <c r="D11" s="22">
        <v>18</v>
      </c>
      <c r="E11" s="26">
        <v>290</v>
      </c>
      <c r="F11" s="26">
        <v>383.33</v>
      </c>
      <c r="G11" s="26">
        <v>296.67</v>
      </c>
      <c r="H11" s="23">
        <f t="shared" si="0"/>
        <v>323.33333333333331</v>
      </c>
      <c r="I11" s="28">
        <f t="shared" si="1"/>
        <v>42.511349334292127</v>
      </c>
      <c r="J11" s="36">
        <f t="shared" si="7"/>
        <v>13.147840000296535</v>
      </c>
      <c r="K11" s="23">
        <f t="shared" si="3"/>
        <v>5820</v>
      </c>
      <c r="L11" s="23">
        <f t="shared" si="4"/>
        <v>323.33333333333331</v>
      </c>
      <c r="M11" s="23">
        <f t="shared" si="8"/>
        <v>323.33</v>
      </c>
      <c r="N11" s="24">
        <f t="shared" si="6"/>
        <v>5819.94</v>
      </c>
    </row>
    <row r="12" spans="1:14" ht="30" x14ac:dyDescent="0.25">
      <c r="A12" s="19">
        <v>8</v>
      </c>
      <c r="B12" s="17" t="s">
        <v>48</v>
      </c>
      <c r="C12" s="22" t="s">
        <v>58</v>
      </c>
      <c r="D12" s="22">
        <v>18</v>
      </c>
      <c r="E12" s="26">
        <v>420</v>
      </c>
      <c r="F12" s="26">
        <v>222.22</v>
      </c>
      <c r="G12" s="26">
        <v>351.67</v>
      </c>
      <c r="H12" s="23">
        <f t="shared" si="0"/>
        <v>331.29666666666668</v>
      </c>
      <c r="I12" s="28">
        <f t="shared" si="1"/>
        <v>82.018439525646954</v>
      </c>
      <c r="J12" s="36">
        <f t="shared" si="7"/>
        <v>24.756795880524088</v>
      </c>
      <c r="K12" s="23">
        <f t="shared" si="3"/>
        <v>5963.34</v>
      </c>
      <c r="L12" s="23">
        <f t="shared" si="4"/>
        <v>331.29666666666668</v>
      </c>
      <c r="M12" s="23">
        <f t="shared" si="8"/>
        <v>331.29</v>
      </c>
      <c r="N12" s="24">
        <f t="shared" si="6"/>
        <v>5963.22</v>
      </c>
    </row>
    <row r="13" spans="1:14" ht="30" x14ac:dyDescent="0.25">
      <c r="A13" s="19">
        <v>9</v>
      </c>
      <c r="B13" s="17" t="s">
        <v>49</v>
      </c>
      <c r="C13" s="22" t="s">
        <v>58</v>
      </c>
      <c r="D13" s="22">
        <v>18</v>
      </c>
      <c r="E13" s="26">
        <v>220</v>
      </c>
      <c r="F13" s="26">
        <v>220</v>
      </c>
      <c r="G13" s="26">
        <v>233.33</v>
      </c>
      <c r="H13" s="23">
        <f t="shared" si="0"/>
        <v>224.44333333333336</v>
      </c>
      <c r="I13" s="28">
        <f t="shared" si="1"/>
        <v>6.2838222621444579</v>
      </c>
      <c r="J13" s="36">
        <f t="shared" si="7"/>
        <v>2.7997366501467886</v>
      </c>
      <c r="K13" s="23">
        <f t="shared" si="3"/>
        <v>4039.9800000000005</v>
      </c>
      <c r="L13" s="23">
        <f t="shared" si="4"/>
        <v>224.44333333333336</v>
      </c>
      <c r="M13" s="23">
        <f t="shared" si="8"/>
        <v>224.44</v>
      </c>
      <c r="N13" s="24">
        <f t="shared" si="6"/>
        <v>4039.92</v>
      </c>
    </row>
    <row r="14" spans="1:14" ht="30" x14ac:dyDescent="0.25">
      <c r="A14" s="19">
        <v>10</v>
      </c>
      <c r="B14" s="17" t="s">
        <v>50</v>
      </c>
      <c r="C14" s="22" t="s">
        <v>58</v>
      </c>
      <c r="D14" s="22">
        <v>18</v>
      </c>
      <c r="E14" s="26">
        <v>220</v>
      </c>
      <c r="F14" s="26">
        <v>320</v>
      </c>
      <c r="G14" s="26">
        <v>233.33</v>
      </c>
      <c r="H14" s="23">
        <f t="shared" si="0"/>
        <v>257.7766666666667</v>
      </c>
      <c r="I14" s="28">
        <f t="shared" si="1"/>
        <v>44.33380676438945</v>
      </c>
      <c r="J14" s="36">
        <f t="shared" si="7"/>
        <v>17.19853365227889</v>
      </c>
      <c r="K14" s="23">
        <f t="shared" si="3"/>
        <v>4639.9800000000005</v>
      </c>
      <c r="L14" s="23">
        <f t="shared" si="4"/>
        <v>257.7766666666667</v>
      </c>
      <c r="M14" s="23">
        <f t="shared" si="8"/>
        <v>257.77</v>
      </c>
      <c r="N14" s="24">
        <f t="shared" si="6"/>
        <v>4639.8599999999997</v>
      </c>
    </row>
    <row r="15" spans="1:14" ht="45" x14ac:dyDescent="0.25">
      <c r="A15" s="19">
        <v>11</v>
      </c>
      <c r="B15" s="17" t="s">
        <v>51</v>
      </c>
      <c r="C15" s="22" t="s">
        <v>58</v>
      </c>
      <c r="D15" s="22">
        <v>18</v>
      </c>
      <c r="E15" s="26">
        <v>320</v>
      </c>
      <c r="F15" s="26">
        <v>400</v>
      </c>
      <c r="G15" s="26">
        <v>333.33</v>
      </c>
      <c r="H15" s="23">
        <f t="shared" si="0"/>
        <v>351.10999999999996</v>
      </c>
      <c r="I15" s="28">
        <f t="shared" si="1"/>
        <v>34.996155026897839</v>
      </c>
      <c r="J15" s="36">
        <f t="shared" si="7"/>
        <v>9.96729088516358</v>
      </c>
      <c r="K15" s="23">
        <f t="shared" si="3"/>
        <v>6319.98</v>
      </c>
      <c r="L15" s="23">
        <f t="shared" si="4"/>
        <v>351.10999999999996</v>
      </c>
      <c r="M15" s="23">
        <f t="shared" si="8"/>
        <v>351.11</v>
      </c>
      <c r="N15" s="24">
        <f t="shared" si="6"/>
        <v>6319.9800000000005</v>
      </c>
    </row>
    <row r="16" spans="1:14" x14ac:dyDescent="0.25">
      <c r="A16" s="19">
        <v>12</v>
      </c>
      <c r="B16" s="17" t="s">
        <v>52</v>
      </c>
      <c r="C16" s="22" t="s">
        <v>58</v>
      </c>
      <c r="D16" s="22">
        <v>18</v>
      </c>
      <c r="E16" s="26">
        <v>290</v>
      </c>
      <c r="F16" s="26">
        <v>300</v>
      </c>
      <c r="G16" s="26">
        <v>296.67</v>
      </c>
      <c r="H16" s="23">
        <f t="shared" si="0"/>
        <v>295.55666666666667</v>
      </c>
      <c r="I16" s="28">
        <f t="shared" si="1"/>
        <v>4.157694339681818</v>
      </c>
      <c r="J16" s="36">
        <f t="shared" si="7"/>
        <v>1.4067333978870893</v>
      </c>
      <c r="K16" s="23">
        <f t="shared" si="3"/>
        <v>5320.02</v>
      </c>
      <c r="L16" s="23">
        <f t="shared" si="4"/>
        <v>295.55666666666667</v>
      </c>
      <c r="M16" s="23">
        <f t="shared" si="8"/>
        <v>295.55</v>
      </c>
      <c r="N16" s="24">
        <f t="shared" si="6"/>
        <v>5319.9000000000005</v>
      </c>
    </row>
    <row r="17" spans="1:14" x14ac:dyDescent="0.25">
      <c r="A17" s="19">
        <v>13</v>
      </c>
      <c r="B17" s="17" t="s">
        <v>53</v>
      </c>
      <c r="C17" s="22" t="s">
        <v>58</v>
      </c>
      <c r="D17" s="22">
        <v>18</v>
      </c>
      <c r="E17" s="26">
        <v>290</v>
      </c>
      <c r="F17" s="26">
        <v>400</v>
      </c>
      <c r="G17" s="26">
        <v>296.67</v>
      </c>
      <c r="H17" s="23">
        <f t="shared" si="0"/>
        <v>328.89000000000004</v>
      </c>
      <c r="I17" s="28">
        <f t="shared" si="1"/>
        <v>50.356041014625418</v>
      </c>
      <c r="J17" s="36">
        <f t="shared" si="7"/>
        <v>15.310906690572962</v>
      </c>
      <c r="K17" s="23">
        <f t="shared" si="3"/>
        <v>5920.02</v>
      </c>
      <c r="L17" s="23">
        <f t="shared" si="4"/>
        <v>328.89000000000004</v>
      </c>
      <c r="M17" s="23">
        <f t="shared" si="8"/>
        <v>328.89</v>
      </c>
      <c r="N17" s="24">
        <f t="shared" si="6"/>
        <v>5920.0199999999995</v>
      </c>
    </row>
    <row r="18" spans="1:14" ht="45" x14ac:dyDescent="0.25">
      <c r="A18" s="19">
        <v>14</v>
      </c>
      <c r="B18" s="17" t="s">
        <v>54</v>
      </c>
      <c r="C18" s="22" t="s">
        <v>58</v>
      </c>
      <c r="D18" s="22">
        <v>18</v>
      </c>
      <c r="E18" s="26">
        <v>290</v>
      </c>
      <c r="F18" s="26">
        <v>400</v>
      </c>
      <c r="G18" s="26">
        <v>233.33</v>
      </c>
      <c r="H18" s="23">
        <f t="shared" si="0"/>
        <v>307.7766666666667</v>
      </c>
      <c r="I18" s="28">
        <f t="shared" si="1"/>
        <v>69.194073124477626</v>
      </c>
      <c r="J18" s="36">
        <f t="shared" si="7"/>
        <v>22.481909975137043</v>
      </c>
      <c r="K18" s="23">
        <f t="shared" si="3"/>
        <v>5539.9800000000005</v>
      </c>
      <c r="L18" s="23">
        <f t="shared" si="4"/>
        <v>307.7766666666667</v>
      </c>
      <c r="M18" s="23">
        <f t="shared" si="8"/>
        <v>307.77</v>
      </c>
      <c r="N18" s="24">
        <f t="shared" si="6"/>
        <v>5539.86</v>
      </c>
    </row>
    <row r="19" spans="1:14" ht="45" x14ac:dyDescent="0.25">
      <c r="A19" s="19">
        <v>15</v>
      </c>
      <c r="B19" s="17" t="s">
        <v>54</v>
      </c>
      <c r="C19" s="22" t="s">
        <v>58</v>
      </c>
      <c r="D19" s="22">
        <v>18</v>
      </c>
      <c r="E19" s="26">
        <v>290</v>
      </c>
      <c r="F19" s="26">
        <v>400</v>
      </c>
      <c r="G19" s="26">
        <v>233.33</v>
      </c>
      <c r="H19" s="23">
        <f t="shared" si="0"/>
        <v>307.7766666666667</v>
      </c>
      <c r="I19" s="28">
        <f t="shared" si="1"/>
        <v>69.194073124477626</v>
      </c>
      <c r="J19" s="36">
        <f t="shared" si="7"/>
        <v>22.481909975137043</v>
      </c>
      <c r="K19" s="23">
        <f t="shared" si="3"/>
        <v>5539.9800000000005</v>
      </c>
      <c r="L19" s="23">
        <f t="shared" si="4"/>
        <v>307.7766666666667</v>
      </c>
      <c r="M19" s="23">
        <f t="shared" si="8"/>
        <v>307.77</v>
      </c>
      <c r="N19" s="24">
        <f t="shared" si="6"/>
        <v>5539.86</v>
      </c>
    </row>
    <row r="20" spans="1:14" ht="45" x14ac:dyDescent="0.25">
      <c r="A20" s="19">
        <v>16</v>
      </c>
      <c r="B20" s="18" t="s">
        <v>54</v>
      </c>
      <c r="C20" s="22" t="s">
        <v>58</v>
      </c>
      <c r="D20" s="22">
        <v>18</v>
      </c>
      <c r="E20" s="27">
        <v>290</v>
      </c>
      <c r="F20" s="26">
        <v>400</v>
      </c>
      <c r="G20" s="26">
        <v>233.33</v>
      </c>
      <c r="H20" s="23">
        <f t="shared" si="0"/>
        <v>307.7766666666667</v>
      </c>
      <c r="I20" s="28">
        <f t="shared" si="1"/>
        <v>69.194073124477626</v>
      </c>
      <c r="J20" s="36">
        <f t="shared" si="7"/>
        <v>22.481909975137043</v>
      </c>
      <c r="K20" s="23">
        <f t="shared" si="3"/>
        <v>5539.9800000000005</v>
      </c>
      <c r="L20" s="23">
        <f t="shared" si="4"/>
        <v>307.7766666666667</v>
      </c>
      <c r="M20" s="23">
        <f t="shared" si="8"/>
        <v>307.77</v>
      </c>
      <c r="N20" s="24">
        <f t="shared" si="6"/>
        <v>5539.86</v>
      </c>
    </row>
    <row r="21" spans="1:14" ht="45" x14ac:dyDescent="0.25">
      <c r="A21" s="19">
        <v>17</v>
      </c>
      <c r="B21" s="20" t="s">
        <v>54</v>
      </c>
      <c r="C21" s="22" t="s">
        <v>58</v>
      </c>
      <c r="D21" s="22">
        <v>18</v>
      </c>
      <c r="E21" s="27">
        <v>290</v>
      </c>
      <c r="F21" s="27">
        <v>400</v>
      </c>
      <c r="G21" s="27">
        <v>233.33</v>
      </c>
      <c r="H21" s="23">
        <f t="shared" si="0"/>
        <v>307.7766666666667</v>
      </c>
      <c r="I21" s="28">
        <f t="shared" si="1"/>
        <v>69.194073124477626</v>
      </c>
      <c r="J21" s="36">
        <f t="shared" si="7"/>
        <v>22.481909975137043</v>
      </c>
      <c r="K21" s="23">
        <f t="shared" si="3"/>
        <v>5539.9800000000005</v>
      </c>
      <c r="L21" s="23">
        <f t="shared" si="4"/>
        <v>307.7766666666667</v>
      </c>
      <c r="M21" s="23">
        <f t="shared" si="8"/>
        <v>307.77</v>
      </c>
      <c r="N21" s="24">
        <f t="shared" si="6"/>
        <v>5539.86</v>
      </c>
    </row>
    <row r="22" spans="1:14" ht="45" x14ac:dyDescent="0.25">
      <c r="A22" s="19">
        <v>18</v>
      </c>
      <c r="B22" s="20" t="s">
        <v>54</v>
      </c>
      <c r="C22" s="22" t="s">
        <v>58</v>
      </c>
      <c r="D22" s="22">
        <v>18</v>
      </c>
      <c r="E22" s="27">
        <v>290</v>
      </c>
      <c r="F22" s="27">
        <v>400</v>
      </c>
      <c r="G22" s="27">
        <v>233.33</v>
      </c>
      <c r="H22" s="23">
        <f t="shared" si="0"/>
        <v>307.7766666666667</v>
      </c>
      <c r="I22" s="28">
        <f t="shared" si="1"/>
        <v>69.194073124477626</v>
      </c>
      <c r="J22" s="36">
        <f t="shared" si="7"/>
        <v>22.481909975137043</v>
      </c>
      <c r="K22" s="23">
        <f t="shared" si="3"/>
        <v>5539.9800000000005</v>
      </c>
      <c r="L22" s="23">
        <f t="shared" si="4"/>
        <v>307.7766666666667</v>
      </c>
      <c r="M22" s="23">
        <f t="shared" si="8"/>
        <v>307.77</v>
      </c>
      <c r="N22" s="24">
        <f t="shared" si="6"/>
        <v>5539.86</v>
      </c>
    </row>
    <row r="23" spans="1:14" x14ac:dyDescent="0.25">
      <c r="A23" s="19">
        <v>19</v>
      </c>
      <c r="B23" s="20" t="s">
        <v>55</v>
      </c>
      <c r="C23" s="22" t="s">
        <v>58</v>
      </c>
      <c r="D23" s="22">
        <v>18</v>
      </c>
      <c r="E23" s="27">
        <v>350</v>
      </c>
      <c r="F23" s="27">
        <v>405.55</v>
      </c>
      <c r="G23" s="27">
        <v>413.33</v>
      </c>
      <c r="H23" s="23">
        <f t="shared" si="0"/>
        <v>389.62666666666661</v>
      </c>
      <c r="I23" s="28">
        <f t="shared" si="1"/>
        <v>28.199723796913723</v>
      </c>
      <c r="J23" s="36">
        <f t="shared" si="7"/>
        <v>7.2376267359131123</v>
      </c>
      <c r="K23" s="23">
        <f t="shared" si="3"/>
        <v>7013.2799999999988</v>
      </c>
      <c r="L23" s="23">
        <f t="shared" si="4"/>
        <v>389.62666666666661</v>
      </c>
      <c r="M23" s="23">
        <f t="shared" si="8"/>
        <v>389.62</v>
      </c>
      <c r="N23" s="24">
        <f t="shared" si="6"/>
        <v>7013.16</v>
      </c>
    </row>
    <row r="24" spans="1:14" ht="30" x14ac:dyDescent="0.25">
      <c r="A24" s="19">
        <v>20</v>
      </c>
      <c r="B24" s="17" t="s">
        <v>56</v>
      </c>
      <c r="C24" s="22" t="s">
        <v>58</v>
      </c>
      <c r="D24" s="22">
        <v>18</v>
      </c>
      <c r="E24" s="26">
        <v>730</v>
      </c>
      <c r="F24" s="26">
        <v>730</v>
      </c>
      <c r="G24" s="26">
        <v>666.67</v>
      </c>
      <c r="H24" s="23">
        <f t="shared" si="0"/>
        <v>708.89</v>
      </c>
      <c r="I24" s="28">
        <f t="shared" si="1"/>
        <v>29.854048301696054</v>
      </c>
      <c r="J24" s="36">
        <f t="shared" si="2"/>
        <v>4.2113795231553635</v>
      </c>
      <c r="K24" s="23">
        <f t="shared" si="3"/>
        <v>12760.02</v>
      </c>
      <c r="L24" s="23">
        <f t="shared" si="4"/>
        <v>708.89</v>
      </c>
      <c r="M24" s="23">
        <f t="shared" si="5"/>
        <v>708.89</v>
      </c>
      <c r="N24" s="24">
        <f t="shared" si="6"/>
        <v>12760.02</v>
      </c>
    </row>
    <row r="25" spans="1:14" ht="30" x14ac:dyDescent="0.25">
      <c r="A25" s="19">
        <v>21</v>
      </c>
      <c r="B25" s="17" t="s">
        <v>57</v>
      </c>
      <c r="C25" s="22" t="s">
        <v>58</v>
      </c>
      <c r="D25" s="22">
        <v>18</v>
      </c>
      <c r="E25" s="27">
        <v>870</v>
      </c>
      <c r="F25" s="26">
        <v>870</v>
      </c>
      <c r="G25" s="26">
        <v>763.33</v>
      </c>
      <c r="H25" s="23">
        <f t="shared" si="0"/>
        <v>834.44333333333327</v>
      </c>
      <c r="I25" s="28">
        <f t="shared" si="1"/>
        <v>50.284720232779328</v>
      </c>
      <c r="J25" s="36">
        <f t="shared" si="2"/>
        <v>6.0261396099730362</v>
      </c>
      <c r="K25" s="23">
        <f t="shared" si="3"/>
        <v>15019.98</v>
      </c>
      <c r="L25" s="23">
        <f t="shared" si="4"/>
        <v>834.44333333333327</v>
      </c>
      <c r="M25" s="23">
        <f t="shared" si="5"/>
        <v>834.44</v>
      </c>
      <c r="N25" s="24">
        <f t="shared" si="6"/>
        <v>15019.920000000002</v>
      </c>
    </row>
    <row r="26" spans="1:14" x14ac:dyDescent="0.25">
      <c r="B26" s="49" t="s">
        <v>67</v>
      </c>
      <c r="C26" s="50"/>
      <c r="D26" s="51"/>
      <c r="E26" s="30">
        <f>SUMPRODUCT(E5:E25,$D5:$D25)</f>
        <v>198900</v>
      </c>
      <c r="F26" s="30">
        <f>SUMPRODUCT(F5:F25,$D5:$D25)</f>
        <v>204055.38</v>
      </c>
      <c r="G26" s="30">
        <f>SUMPRODUCT(G5:G25,$D5:$D25)</f>
        <v>179009.46</v>
      </c>
      <c r="H26" s="29"/>
      <c r="N26" s="25">
        <f>SUM(N5:N25)</f>
        <v>193986.71999999994</v>
      </c>
    </row>
    <row r="31" spans="1:14" ht="15.75" x14ac:dyDescent="0.25">
      <c r="A31" s="48" t="s">
        <v>65</v>
      </c>
      <c r="B31" s="48"/>
      <c r="C31" s="48"/>
      <c r="D31" s="48"/>
      <c r="E31" s="48"/>
      <c r="F31" s="48"/>
      <c r="G31" s="48"/>
      <c r="H31" s="48"/>
      <c r="I31" s="44">
        <f>N26</f>
        <v>193986.71999999994</v>
      </c>
      <c r="J31" s="44"/>
      <c r="K31" s="6" t="s">
        <v>8</v>
      </c>
      <c r="L31" s="6"/>
      <c r="M31" s="6"/>
      <c r="N31" s="6"/>
    </row>
    <row r="32" spans="1:14" ht="15.75" x14ac:dyDescent="0.25">
      <c r="A32" s="48" t="s">
        <v>11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0.25" customHeight="1" x14ac:dyDescent="0.25">
      <c r="A34" s="5" t="s">
        <v>61</v>
      </c>
      <c r="B34" s="10"/>
      <c r="C34" s="43"/>
      <c r="D34" s="43"/>
      <c r="E34" s="43"/>
      <c r="F34" s="4"/>
      <c r="G34" s="1"/>
      <c r="H34" s="1"/>
      <c r="I34" s="1"/>
      <c r="J34" s="13"/>
      <c r="K34" s="4"/>
      <c r="L34" s="4"/>
      <c r="M34" s="4"/>
      <c r="N34" s="1"/>
    </row>
    <row r="35" spans="1:14" ht="24.75" customHeight="1" x14ac:dyDescent="0.25">
      <c r="A35" s="5" t="s">
        <v>10</v>
      </c>
      <c r="B35" s="14"/>
      <c r="C35" s="42" t="s">
        <v>70</v>
      </c>
      <c r="D35" s="42"/>
      <c r="E35" s="42"/>
      <c r="F35" s="31"/>
      <c r="G35" s="3"/>
      <c r="H35" s="3"/>
      <c r="I35" s="3"/>
      <c r="J35" s="8"/>
      <c r="K35" s="11"/>
      <c r="L35" s="11"/>
      <c r="M35" s="11"/>
      <c r="N35" s="12"/>
    </row>
  </sheetData>
  <autoFilter ref="A4:N26"/>
  <mergeCells count="14">
    <mergeCell ref="C35:E35"/>
    <mergeCell ref="C34:E34"/>
    <mergeCell ref="I31:J31"/>
    <mergeCell ref="K2:N2"/>
    <mergeCell ref="E2:G2"/>
    <mergeCell ref="A31:H31"/>
    <mergeCell ref="A32:N32"/>
    <mergeCell ref="B26:D26"/>
    <mergeCell ref="A1:N1"/>
    <mergeCell ref="A2:A3"/>
    <mergeCell ref="B2:B3"/>
    <mergeCell ref="C2:C3"/>
    <mergeCell ref="D2:D3"/>
    <mergeCell ref="H2:J2"/>
  </mergeCells>
  <conditionalFormatting sqref="B24:B1048576 B1:B8">
    <cfRule type="duplicateValues" dxfId="1" priority="2"/>
  </conditionalFormatting>
  <conditionalFormatting sqref="B9:B17 B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G3" sqref="G3:G23"/>
    </sheetView>
  </sheetViews>
  <sheetFormatPr defaultRowHeight="15" x14ac:dyDescent="0.25"/>
  <sheetData>
    <row r="3" spans="1:7" x14ac:dyDescent="0.25">
      <c r="A3" t="s">
        <v>15</v>
      </c>
      <c r="B3" t="s">
        <v>39</v>
      </c>
      <c r="C3" t="s">
        <v>14</v>
      </c>
      <c r="D3" t="s">
        <v>40</v>
      </c>
      <c r="E3">
        <v>2015</v>
      </c>
      <c r="F3" t="s">
        <v>41</v>
      </c>
      <c r="G3" t="str">
        <f>CONCATENATE(A3,B3,C3,D3,E3,F3)</f>
        <v>АВТОКЛАВ ВК-75-01, 2015 г.в.</v>
      </c>
    </row>
    <row r="4" spans="1:7" x14ac:dyDescent="0.25">
      <c r="A4" t="s">
        <v>15</v>
      </c>
      <c r="B4" t="s">
        <v>39</v>
      </c>
      <c r="C4" t="s">
        <v>16</v>
      </c>
      <c r="D4" t="s">
        <v>40</v>
      </c>
      <c r="E4">
        <v>2012</v>
      </c>
      <c r="F4" t="s">
        <v>41</v>
      </c>
      <c r="G4" t="str">
        <f t="shared" ref="G4:G23" si="0">CONCATENATE(A4,B4,C4,D4,E4,F4)</f>
        <v>АВТОКЛАВ ВК-75-РПЗ, 2012 г.в.</v>
      </c>
    </row>
    <row r="5" spans="1:7" x14ac:dyDescent="0.25">
      <c r="A5" t="s">
        <v>15</v>
      </c>
      <c r="B5" t="s">
        <v>39</v>
      </c>
      <c r="C5" t="s">
        <v>14</v>
      </c>
      <c r="D5" t="s">
        <v>40</v>
      </c>
      <c r="E5">
        <v>2012</v>
      </c>
      <c r="F5" t="s">
        <v>41</v>
      </c>
      <c r="G5" t="str">
        <f t="shared" si="0"/>
        <v>АВТОКЛАВ ВК-75-01, 2012 г.в.</v>
      </c>
    </row>
    <row r="6" spans="1:7" x14ac:dyDescent="0.25">
      <c r="A6" t="s">
        <v>18</v>
      </c>
      <c r="B6" t="s">
        <v>39</v>
      </c>
      <c r="C6" t="s">
        <v>17</v>
      </c>
      <c r="D6" t="s">
        <v>40</v>
      </c>
      <c r="E6">
        <v>2015</v>
      </c>
      <c r="F6" t="s">
        <v>41</v>
      </c>
      <c r="G6" t="str">
        <f t="shared" si="0"/>
        <v>АКВАДИСТИЛЛЯТОР ДЭ-25М, 2015 г.в.</v>
      </c>
    </row>
    <row r="7" spans="1:7" x14ac:dyDescent="0.25">
      <c r="A7" t="s">
        <v>18</v>
      </c>
      <c r="B7" t="s">
        <v>39</v>
      </c>
      <c r="C7" t="s">
        <v>19</v>
      </c>
      <c r="D7" t="s">
        <v>40</v>
      </c>
      <c r="E7">
        <v>2013</v>
      </c>
      <c r="F7" t="s">
        <v>41</v>
      </c>
      <c r="G7" t="str">
        <f t="shared" si="0"/>
        <v>АКВАДИСТИЛЛЯТОР ДЭ-60, 2013 г.в.</v>
      </c>
    </row>
    <row r="8" spans="1:7" x14ac:dyDescent="0.25">
      <c r="A8" t="s">
        <v>18</v>
      </c>
      <c r="B8" t="s">
        <v>39</v>
      </c>
      <c r="C8" t="s">
        <v>20</v>
      </c>
      <c r="D8" t="s">
        <v>40</v>
      </c>
      <c r="E8">
        <v>2013</v>
      </c>
      <c r="F8" t="s">
        <v>41</v>
      </c>
      <c r="G8" t="str">
        <f t="shared" si="0"/>
        <v>АКВАДИСТИЛЛЯТОР АЭ-25МО, 2013 г.в.</v>
      </c>
    </row>
    <row r="9" spans="1:7" x14ac:dyDescent="0.25">
      <c r="A9" t="s">
        <v>22</v>
      </c>
      <c r="B9" t="s">
        <v>39</v>
      </c>
      <c r="C9" t="s">
        <v>21</v>
      </c>
      <c r="D9" t="s">
        <v>40</v>
      </c>
      <c r="E9">
        <v>2016</v>
      </c>
      <c r="F9" t="s">
        <v>41</v>
      </c>
      <c r="G9" t="str">
        <f t="shared" si="0"/>
        <v>Сушильный шкаф ШС-80, 2016 г.в.</v>
      </c>
    </row>
    <row r="10" spans="1:7" x14ac:dyDescent="0.25">
      <c r="A10" t="s">
        <v>24</v>
      </c>
      <c r="B10" t="s">
        <v>39</v>
      </c>
      <c r="C10" t="s">
        <v>23</v>
      </c>
      <c r="D10" t="s">
        <v>40</v>
      </c>
      <c r="E10">
        <v>2016</v>
      </c>
      <c r="F10" t="s">
        <v>41</v>
      </c>
      <c r="G10" t="str">
        <f t="shared" si="0"/>
        <v>ОБКАТОЧНАЯ МАШИНКА ПОК-1, 2016 г.в.</v>
      </c>
    </row>
    <row r="11" spans="1:7" x14ac:dyDescent="0.25">
      <c r="A11" t="s">
        <v>26</v>
      </c>
      <c r="B11" t="s">
        <v>39</v>
      </c>
      <c r="C11" t="s">
        <v>25</v>
      </c>
      <c r="D11" t="s">
        <v>40</v>
      </c>
      <c r="E11">
        <v>2010</v>
      </c>
      <c r="F11" t="s">
        <v>41</v>
      </c>
      <c r="G11" t="str">
        <f t="shared" si="0"/>
        <v>ХОЛОДИЛЬНИК ФАРМАЦЕВТИЧСКИЙ ХФ-400 «ПОЗИС» , 2010 г.в.</v>
      </c>
    </row>
    <row r="12" spans="1:7" x14ac:dyDescent="0.25">
      <c r="A12" t="s">
        <v>26</v>
      </c>
      <c r="B12" t="s">
        <v>39</v>
      </c>
      <c r="C12" t="s">
        <v>27</v>
      </c>
      <c r="D12" t="s">
        <v>40</v>
      </c>
      <c r="E12">
        <v>2010</v>
      </c>
      <c r="F12" t="s">
        <v>41</v>
      </c>
      <c r="G12" t="str">
        <f t="shared" si="0"/>
        <v>ХОЛОДИЛЬНИК ФАРМАЦЕВТИЧСКИЙ ХФ-250 «ПОЗИС», 2010 г.в.</v>
      </c>
    </row>
    <row r="13" spans="1:7" x14ac:dyDescent="0.25">
      <c r="A13" t="s">
        <v>29</v>
      </c>
      <c r="B13" t="s">
        <v>39</v>
      </c>
      <c r="C13" t="s">
        <v>28</v>
      </c>
      <c r="D13" t="s">
        <v>40</v>
      </c>
      <c r="E13">
        <v>2013</v>
      </c>
      <c r="F13" t="s">
        <v>41</v>
      </c>
      <c r="G13" t="str">
        <f t="shared" si="0"/>
        <v>УСТАНОВКА ДЛЯ ФИЛЬТРОВАНИЯ И РАЗЛИВА ЖИДКОСТЕЙ КОНТУР П4, 2013 г.в.</v>
      </c>
    </row>
    <row r="14" spans="1:7" x14ac:dyDescent="0.25">
      <c r="A14" t="s">
        <v>30</v>
      </c>
      <c r="B14" t="s">
        <v>39</v>
      </c>
      <c r="C14" t="s">
        <v>21</v>
      </c>
      <c r="D14" t="s">
        <v>40</v>
      </c>
      <c r="E14">
        <v>2013</v>
      </c>
      <c r="F14" t="s">
        <v>41</v>
      </c>
      <c r="G14" t="str">
        <f t="shared" si="0"/>
        <v>СУШИЛЬНЫЙ ШКАФ ШС-80, 2013 г.в.</v>
      </c>
    </row>
    <row r="15" spans="1:7" x14ac:dyDescent="0.25">
      <c r="A15" t="s">
        <v>30</v>
      </c>
      <c r="B15" t="s">
        <v>39</v>
      </c>
      <c r="C15" t="s">
        <v>21</v>
      </c>
      <c r="D15" t="s">
        <v>40</v>
      </c>
      <c r="E15">
        <v>2015</v>
      </c>
      <c r="F15" t="s">
        <v>41</v>
      </c>
      <c r="G15" t="str">
        <f t="shared" si="0"/>
        <v>СУШИЛЬНЫЙ ШКАФ ШС-80, 2015 г.в.</v>
      </c>
    </row>
    <row r="16" spans="1:7" x14ac:dyDescent="0.25">
      <c r="A16" t="s">
        <v>32</v>
      </c>
      <c r="B16" t="s">
        <v>39</v>
      </c>
      <c r="C16" t="s">
        <v>31</v>
      </c>
      <c r="D16" t="s">
        <v>40</v>
      </c>
      <c r="E16">
        <v>2013</v>
      </c>
      <c r="F16" t="s">
        <v>41</v>
      </c>
      <c r="G16" t="str">
        <f t="shared" si="0"/>
        <v>ОБЛУЧАТЕЛЬ-РЕЦИРКУЛЯТОР ВОЗДУХА УФ БАКТЕРИЦИДНЫЙ ДЕЗАР-5, 2013 г.в.</v>
      </c>
    </row>
    <row r="17" spans="1:7" x14ac:dyDescent="0.25">
      <c r="A17" t="s">
        <v>32</v>
      </c>
      <c r="B17" t="s">
        <v>39</v>
      </c>
      <c r="C17" t="s">
        <v>31</v>
      </c>
      <c r="D17" t="s">
        <v>40</v>
      </c>
      <c r="E17">
        <v>2013</v>
      </c>
      <c r="F17" t="s">
        <v>41</v>
      </c>
      <c r="G17" t="str">
        <f t="shared" si="0"/>
        <v>ОБЛУЧАТЕЛЬ-РЕЦИРКУЛЯТОР ВОЗДУХА УФ БАКТЕРИЦИДНЫЙ ДЕЗАР-5, 2013 г.в.</v>
      </c>
    </row>
    <row r="18" spans="1:7" x14ac:dyDescent="0.25">
      <c r="A18" t="s">
        <v>32</v>
      </c>
      <c r="B18" t="s">
        <v>39</v>
      </c>
      <c r="C18" t="s">
        <v>31</v>
      </c>
      <c r="D18" t="s">
        <v>40</v>
      </c>
      <c r="E18">
        <v>2013</v>
      </c>
      <c r="F18" t="s">
        <v>41</v>
      </c>
      <c r="G18" t="str">
        <f t="shared" si="0"/>
        <v>ОБЛУЧАТЕЛЬ-РЕЦИРКУЛЯТОР ВОЗДУХА УФ БАКТЕРИЦИДНЫЙ ДЕЗАР-5, 2013 г.в.</v>
      </c>
    </row>
    <row r="19" spans="1:7" x14ac:dyDescent="0.25">
      <c r="A19" t="s">
        <v>32</v>
      </c>
      <c r="B19" t="s">
        <v>39</v>
      </c>
      <c r="C19" t="s">
        <v>31</v>
      </c>
      <c r="D19" t="s">
        <v>40</v>
      </c>
      <c r="E19">
        <v>2013</v>
      </c>
      <c r="F19" t="s">
        <v>41</v>
      </c>
      <c r="G19" t="str">
        <f t="shared" si="0"/>
        <v>ОБЛУЧАТЕЛЬ-РЕЦИРКУЛЯТОР ВОЗДУХА УФ БАКТЕРИЦИДНЫЙ ДЕЗАР-5, 2013 г.в.</v>
      </c>
    </row>
    <row r="20" spans="1:7" x14ac:dyDescent="0.25">
      <c r="A20" t="s">
        <v>32</v>
      </c>
      <c r="B20" t="s">
        <v>39</v>
      </c>
      <c r="C20" t="s">
        <v>31</v>
      </c>
      <c r="D20" t="s">
        <v>40</v>
      </c>
      <c r="E20">
        <v>2013</v>
      </c>
      <c r="F20" t="s">
        <v>41</v>
      </c>
      <c r="G20" t="str">
        <f t="shared" si="0"/>
        <v>ОБЛУЧАТЕЛЬ-РЕЦИРКУЛЯТОР ВОЗДУХА УФ БАКТЕРИЦИДНЫЙ ДЕЗАР-5, 2013 г.в.</v>
      </c>
    </row>
    <row r="21" spans="1:7" x14ac:dyDescent="0.25">
      <c r="A21" t="s">
        <v>34</v>
      </c>
      <c r="B21" t="s">
        <v>39</v>
      </c>
      <c r="C21" t="s">
        <v>33</v>
      </c>
      <c r="D21" t="s">
        <v>40</v>
      </c>
      <c r="E21">
        <v>2013</v>
      </c>
      <c r="F21" t="s">
        <v>41</v>
      </c>
      <c r="G21" t="str">
        <f t="shared" si="0"/>
        <v>РЕФРАКТОМЕТР ИРФ-454 Б2М, 2013 г.в.</v>
      </c>
    </row>
    <row r="22" spans="1:7" x14ac:dyDescent="0.25">
      <c r="A22" t="s">
        <v>36</v>
      </c>
      <c r="B22" t="s">
        <v>39</v>
      </c>
      <c r="C22" t="s">
        <v>35</v>
      </c>
      <c r="D22" t="s">
        <v>40</v>
      </c>
      <c r="E22">
        <v>2008</v>
      </c>
      <c r="F22" t="s">
        <v>41</v>
      </c>
      <c r="G22" t="str">
        <f t="shared" si="0"/>
        <v>АППАРАТ УКУПОРОЧНЫЙ МЗ-400Е3, 2008 г.в.</v>
      </c>
    </row>
    <row r="23" spans="1:7" x14ac:dyDescent="0.25">
      <c r="A23" t="s">
        <v>38</v>
      </c>
      <c r="B23" t="s">
        <v>39</v>
      </c>
      <c r="C23" t="s">
        <v>37</v>
      </c>
      <c r="D23" t="s">
        <v>40</v>
      </c>
      <c r="E23">
        <v>2013</v>
      </c>
      <c r="F23" t="s">
        <v>41</v>
      </c>
      <c r="G23" t="str">
        <f t="shared" si="0"/>
        <v>ПОЛУАВТОМАТ УКУПОРОЧНЫЙ ПЗР-34-ВИПС, 2013 г.в.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НМЦК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Камалова Ирина Гизаровна</dc:creator>
  <cp:lastModifiedBy>Карчевская М.И</cp:lastModifiedBy>
  <cp:lastPrinted>2020-03-12T06:56:05Z</cp:lastPrinted>
  <dcterms:created xsi:type="dcterms:W3CDTF">2014-01-15T18:15:09Z</dcterms:created>
  <dcterms:modified xsi:type="dcterms:W3CDTF">2021-09-10T14:07:32Z</dcterms:modified>
</cp:coreProperties>
</file>