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ОЛ ПКУ" sheetId="1" state="visible" r:id="rId2"/>
    <sheet name="Список" sheetId="2" state="hidden" r:id="rId3"/>
    <sheet name="ОЛ ТТ" sheetId="3" state="visible" r:id="rId4"/>
    <sheet name="ОЛ ТН" sheetId="4" state="visible" r:id="rId5"/>
  </sheets>
  <definedNames>
    <definedName function="false" hidden="false" localSheetId="0" name="_xlnm.Print_Area" vbProcedure="false">'ОЛ ПКУ'!$B$1:$U$47</definedName>
    <definedName function="false" hidden="false" name="_10_кВ" vbProcedure="false">Список!$C$38:$E$38</definedName>
    <definedName function="false" hidden="false" name="_6_кВ" vbProcedure="false">Список!$C$37:$E$37</definedName>
    <definedName function="false" hidden="false" name="ав" vbProcedure="false">#REF!</definedName>
    <definedName function="false" hidden="false" name="ЗНОЛП_10" vbProcedure="false">Список!$F$8:$G$8</definedName>
    <definedName function="false" hidden="false" name="ЗНОЛП_6" vbProcedure="false">Список!$B$8:$E$8</definedName>
    <definedName function="false" hidden="false" name="класснапряжПКУ" vbProcedure="false">Список!$C$35:$D$35</definedName>
    <definedName function="false" hidden="false" name="модуль" vbProcedure="false">#REF!</definedName>
    <definedName function="false" hidden="false" name="НОЛ.08_10М" vbProcedure="false">Список!$F$8</definedName>
    <definedName function="false" hidden="false" name="НОЛ.08_6М" vbProcedure="false">Список!$B$8</definedName>
    <definedName function="false" hidden="false" name="НОЛП_10" vbProcedure="false">Список!$F$8:$G$8</definedName>
    <definedName function="false" hidden="false" name="НОЛП_6" vbProcedure="false">Список!$B$8:$E$8</definedName>
    <definedName function="false" hidden="false" name="опн" vbProcedure="false">#REF!</definedName>
    <definedName function="false" hidden="false" name="рвн" vbProcedure="false">#REF!</definedName>
    <definedName function="false" hidden="false" name="ре19" vbProcedure="false">#REF!</definedName>
    <definedName function="false" hidden="false" name="счвозмвстрмод" vbProcedure="false">Список!$A$111:$A$115</definedName>
    <definedName function="false" hidden="false" name="счетчик" vbProcedure="false">#REF!</definedName>
    <definedName function="false" hidden="false" name="счсвстрмод" vbProcedure="false">Список!$A$117,Список!$A$120,Список!$A$126,Список!$A$128</definedName>
    <definedName function="false" hidden="false" name="Тип" vbProcedure="false">#REF!</definedName>
    <definedName function="false" hidden="false" name="тсн" vbProcedure="false">#REF!</definedName>
    <definedName function="false" hidden="false" name="тт" vbProcedure="false">#REF!</definedName>
    <definedName function="false" hidden="false" name="увн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<sst xmlns="http://schemas.openxmlformats.org/spreadsheetml/2006/main" count="478" uniqueCount="291">
  <si>
    <t xml:space="preserve">Организация</t>
  </si>
  <si>
    <t xml:space="preserve">АО «РСК»</t>
  </si>
  <si>
    <t xml:space="preserve">Контактное лицо</t>
  </si>
  <si>
    <t xml:space="preserve">Контактный телефон</t>
  </si>
  <si>
    <t xml:space="preserve">e-mail:</t>
  </si>
  <si>
    <t xml:space="preserve">Опросный лист для ПКУ</t>
  </si>
  <si>
    <t xml:space="preserve">Класс напряжения</t>
  </si>
  <si>
    <t xml:space="preserve">_6_кВ</t>
  </si>
  <si>
    <t xml:space="preserve">для ТТ</t>
  </si>
  <si>
    <t xml:space="preserve">для ТН</t>
  </si>
  <si>
    <t xml:space="preserve">Схема (количество ТТ и ТН)</t>
  </si>
  <si>
    <t xml:space="preserve">3ТТ и 3ТН</t>
  </si>
  <si>
    <t xml:space="preserve">ТТ:</t>
  </si>
  <si>
    <t xml:space="preserve">ТН:</t>
  </si>
  <si>
    <t xml:space="preserve">Крепление высоковольтного модуля (ВМ)</t>
  </si>
  <si>
    <t xml:space="preserve">Да</t>
  </si>
  <si>
    <t xml:space="preserve">СВ-110</t>
  </si>
  <si>
    <t xml:space="preserve">Промежуточный блок зажимов в ВМ</t>
  </si>
  <si>
    <t xml:space="preserve">Трансформатор напряжения</t>
  </si>
  <si>
    <t xml:space="preserve">Тип трансформатора напряжения</t>
  </si>
  <si>
    <t xml:space="preserve">ЗНОЛП_6</t>
  </si>
  <si>
    <t xml:space="preserve">Номинальное напряжение первичной обмотки, кВ</t>
  </si>
  <si>
    <t xml:space="preserve">Класс точности вторичной обмотки</t>
  </si>
  <si>
    <t xml:space="preserve">Трансформаторы тока ТПОЛ-10-III</t>
  </si>
  <si>
    <t xml:space="preserve">Номинальный первичный ток, А</t>
  </si>
  <si>
    <t xml:space="preserve">0,5S</t>
  </si>
  <si>
    <t xml:space="preserve">Одна вторичная обмотка</t>
  </si>
  <si>
    <t xml:space="preserve">Разъединитель</t>
  </si>
  <si>
    <t xml:space="preserve">Нет</t>
  </si>
  <si>
    <t xml:space="preserve">Рама для крепления на опоре</t>
  </si>
  <si>
    <t xml:space="preserve">рекомендуемое</t>
  </si>
  <si>
    <t xml:space="preserve">ОПН</t>
  </si>
  <si>
    <t xml:space="preserve">ОПНп-6/7,2/550 УХЛ1</t>
  </si>
  <si>
    <t xml:space="preserve">Дополнительная комплектация</t>
  </si>
  <si>
    <t xml:space="preserve">Шкаф учета с креплением на опору</t>
  </si>
  <si>
    <t xml:space="preserve">600х400х200мм</t>
  </si>
  <si>
    <t xml:space="preserve">Наличие обогрева шкафа учета</t>
  </si>
  <si>
    <t xml:space="preserve">Тип счетчика эл. эн.</t>
  </si>
  <si>
    <t xml:space="preserve">Активно-реактивный</t>
  </si>
  <si>
    <t xml:space="preserve">Марка счетчика эл. эн.</t>
  </si>
  <si>
    <t xml:space="preserve">Милур 307S.11-GRR-2 (или эквивалент)</t>
  </si>
  <si>
    <t xml:space="preserve">GSM-модем, коммуникатор</t>
  </si>
  <si>
    <t xml:space="preserve">Встроен в счетчик</t>
  </si>
  <si>
    <r>
      <rPr>
        <b val="true"/>
        <sz val="11"/>
        <color rgb="FF000000"/>
        <rFont val="Arial"/>
        <family val="2"/>
        <charset val="204"/>
      </rPr>
      <t xml:space="preserve">Кабель в металлорукаве от МВ до шкафа учета </t>
    </r>
    <r>
      <rPr>
        <sz val="11"/>
        <color rgb="FF000000"/>
        <rFont val="Arial"/>
        <family val="2"/>
        <charset val="204"/>
      </rPr>
      <t xml:space="preserve">(установлены наконечники с одной стороны)</t>
    </r>
  </si>
  <si>
    <t xml:space="preserve">Наконечники для кабеля МВ со стороны шкафа учета</t>
  </si>
  <si>
    <t xml:space="preserve">Инструмент для опрессовки наконечников</t>
  </si>
  <si>
    <t xml:space="preserve">Комплект переносных знаков</t>
  </si>
  <si>
    <t xml:space="preserve">Примечания</t>
  </si>
  <si>
    <t xml:space="preserve">Степень защиты: МВ - IP43, МН - IP54</t>
  </si>
  <si>
    <t xml:space="preserve">Примечание: ТТ и ТН </t>
  </si>
  <si>
    <t xml:space="preserve">Обозначение: </t>
  </si>
  <si>
    <t xml:space="preserve">ПКУ МВ 6/0,4 УХЛ1 со шкафом учета</t>
  </si>
  <si>
    <t xml:space="preserve">Схема:</t>
  </si>
  <si>
    <t xml:space="preserve">Количество, шт.</t>
  </si>
  <si>
    <t xml:space="preserve">схема счетчика:</t>
  </si>
  <si>
    <t xml:space="preserve">ОАО "Свердловский завод трансформаторов тока", 620043, Г.Екатеринбург ул. Черкасская,25 тел./343/ 234-31-04      факс /343/212-52-55                     e-mail:dpo@cztt.ru   cztt@cztt.ru   сайт: www.cztt.ru</t>
  </si>
  <si>
    <t xml:space="preserve">ПКУ</t>
  </si>
  <si>
    <t xml:space="preserve">3ТТ и 2ТН</t>
  </si>
  <si>
    <t xml:space="preserve">2ТТ и 3ТН</t>
  </si>
  <si>
    <t xml:space="preserve">2ТТ и 2ТН</t>
  </si>
  <si>
    <t xml:space="preserve">опора:</t>
  </si>
  <si>
    <t xml:space="preserve"> </t>
  </si>
  <si>
    <t xml:space="preserve">СВ-105</t>
  </si>
  <si>
    <t xml:space="preserve">Другой</t>
  </si>
  <si>
    <t xml:space="preserve">ЗНОЛП-6</t>
  </si>
  <si>
    <t xml:space="preserve">НОЛ.08-6М</t>
  </si>
  <si>
    <t xml:space="preserve">ЗНОЛП-10</t>
  </si>
  <si>
    <t xml:space="preserve">НОЛ.08-10М</t>
  </si>
  <si>
    <t xml:space="preserve">0,2S</t>
  </si>
  <si>
    <t xml:space="preserve">РЛНД</t>
  </si>
  <si>
    <t xml:space="preserve">ОПНп-6/6,6/550 УХЛ1</t>
  </si>
  <si>
    <t xml:space="preserve">ОПНп-6/6,9/550 УХЛ1</t>
  </si>
  <si>
    <t xml:space="preserve">ОПНп-6/7,6/550 УХЛ1</t>
  </si>
  <si>
    <t xml:space="preserve">ОПНп-6/6,6/680 УХЛ1</t>
  </si>
  <si>
    <t xml:space="preserve">ОПНп-6/6,9/680 УХЛ1</t>
  </si>
  <si>
    <t xml:space="preserve">ОПНп-6/7,2/680 УХЛ1</t>
  </si>
  <si>
    <t xml:space="preserve">ОПНп-6/7,6/680 УХЛ1</t>
  </si>
  <si>
    <t xml:space="preserve">ОПНп-10/11/550 УХЛ1</t>
  </si>
  <si>
    <t xml:space="preserve">ОПНп-10/11,5/550 УХЛ1</t>
  </si>
  <si>
    <t xml:space="preserve">ОПНп-10/12/400 УХЛ1</t>
  </si>
  <si>
    <t xml:space="preserve">ОПНп-10/12/550 УХЛ1</t>
  </si>
  <si>
    <t xml:space="preserve">ОПНп-10/12,7/550 УХЛ1</t>
  </si>
  <si>
    <t xml:space="preserve">ОПНп-10/11/680 УХЛ1</t>
  </si>
  <si>
    <t xml:space="preserve">ОПНп-10/11,5/680 УХЛ1</t>
  </si>
  <si>
    <t xml:space="preserve">ОПНп-10/12/680 УХЛ1</t>
  </si>
  <si>
    <t xml:space="preserve">ОПНп-10/12,7/680 УХЛ1</t>
  </si>
  <si>
    <t xml:space="preserve">Количество комплектов</t>
  </si>
  <si>
    <t xml:space="preserve">Активный</t>
  </si>
  <si>
    <t xml:space="preserve">Реактивный</t>
  </si>
  <si>
    <t xml:space="preserve">НЕТ</t>
  </si>
  <si>
    <t xml:space="preserve">СЭТ-4ТМ.03М</t>
  </si>
  <si>
    <t xml:space="preserve">СЭТ-4ТМ.03М.01 </t>
  </si>
  <si>
    <t xml:space="preserve">СЭТ-4ТМ.02М.03</t>
  </si>
  <si>
    <t xml:space="preserve">СЭТ-4ТМ.03М.05</t>
  </si>
  <si>
    <t xml:space="preserve">СЭТ-4ТМ.02М.07</t>
  </si>
  <si>
    <t xml:space="preserve">ПСЧ-4ТМ.05МК.00</t>
  </si>
  <si>
    <t xml:space="preserve">ПСЧ-4ТМ.05МК.00.01*</t>
  </si>
  <si>
    <t xml:space="preserve">ПСЧ-4ТМ.05МК.01</t>
  </si>
  <si>
    <t xml:space="preserve">ПСЧ-4ТМ.05МК.12</t>
  </si>
  <si>
    <t xml:space="preserve">ПСЧ-4ТМ.05МК.12.01*</t>
  </si>
  <si>
    <t xml:space="preserve">ПСЧ-4ТМ.05МК.13</t>
  </si>
  <si>
    <t xml:space="preserve">СE 303 S31 503 JAVZ</t>
  </si>
  <si>
    <t xml:space="preserve">СE 303 S31 503 JGVZ(12)</t>
  </si>
  <si>
    <t xml:space="preserve">M234 ART-00 P</t>
  </si>
  <si>
    <t xml:space="preserve">M234 ARTM-00 PВ.R</t>
  </si>
  <si>
    <t xml:space="preserve">M234 ARTM-00 PВ.G</t>
  </si>
  <si>
    <t xml:space="preserve">M234 ARTM2-00 PВ.R</t>
  </si>
  <si>
    <t xml:space="preserve">M234 ARTM2-00 PВ.G</t>
  </si>
  <si>
    <t xml:space="preserve">GSM C-1.02</t>
  </si>
  <si>
    <t xml:space="preserve">GSM TELEOFIS RX108-R4</t>
  </si>
  <si>
    <t xml:space="preserve">Кабель в металлорукаве от МВ до шкафа учета</t>
  </si>
  <si>
    <t xml:space="preserve">Блок питания Mean Well DR-30-12</t>
  </si>
  <si>
    <t xml:space="preserve">Блок питания TELEOFIS DPS 12-12</t>
  </si>
  <si>
    <t xml:space="preserve">Антенна    Triada BA-996 SOTA 1,5m SMA 3G</t>
  </si>
  <si>
    <t xml:space="preserve">Антена GSM</t>
  </si>
  <si>
    <t xml:space="preserve">КТПК-П-ВВ-630/10/0,4 УХЛ1</t>
  </si>
  <si>
    <t xml:space="preserve">Главный список</t>
  </si>
  <si>
    <t xml:space="preserve">_10_кВ</t>
  </si>
  <si>
    <t xml:space="preserve">Таблица для заполнения ОЛ на ТН</t>
  </si>
  <si>
    <t xml:space="preserve">ТН</t>
  </si>
  <si>
    <t xml:space="preserve">ЗНОЛП_10</t>
  </si>
  <si>
    <t xml:space="preserve">НОЛ.08_10М</t>
  </si>
  <si>
    <t xml:space="preserve">НОЛ.08_6М</t>
  </si>
  <si>
    <t xml:space="preserve">НОЛП_10</t>
  </si>
  <si>
    <t xml:space="preserve">НОЛП_6</t>
  </si>
  <si>
    <t xml:space="preserve">Номинальная мощность измерительной обмотки при указанном классе точности, ВА</t>
  </si>
  <si>
    <t xml:space="preserve">Номинальная мощность дополнительной вторичной обмотки при указанном классе точности, ВА</t>
  </si>
  <si>
    <t xml:space="preserve">Предельная мощность вне класса точности, ВА</t>
  </si>
  <si>
    <t xml:space="preserve">термика и динамика ТТ</t>
  </si>
  <si>
    <t xml:space="preserve">перв.ток</t>
  </si>
  <si>
    <t xml:space="preserve">термика</t>
  </si>
  <si>
    <t xml:space="preserve">динамика</t>
  </si>
  <si>
    <t xml:space="preserve">Формирование номера схемы МВ:</t>
  </si>
  <si>
    <t xml:space="preserve">№</t>
  </si>
  <si>
    <t xml:space="preserve">схема</t>
  </si>
  <si>
    <t xml:space="preserve">ТТ</t>
  </si>
  <si>
    <t xml:space="preserve">номер</t>
  </si>
  <si>
    <t xml:space="preserve">ПКУ-10-Н-2</t>
  </si>
  <si>
    <t xml:space="preserve">2х  НОЛП</t>
  </si>
  <si>
    <t xml:space="preserve">2х  ТПОЛ</t>
  </si>
  <si>
    <t xml:space="preserve">ПКУ-10-ЗН-2</t>
  </si>
  <si>
    <t xml:space="preserve">3х  ЗНОЛП</t>
  </si>
  <si>
    <t xml:space="preserve">ПКУ-10-НОЛ08-2</t>
  </si>
  <si>
    <t xml:space="preserve">3х  НОЛ.08</t>
  </si>
  <si>
    <t xml:space="preserve">ПКУ-10-Н-3</t>
  </si>
  <si>
    <t xml:space="preserve">3х  ТПОЛ</t>
  </si>
  <si>
    <t xml:space="preserve">ПКУ-10-ЗН-3</t>
  </si>
  <si>
    <t xml:space="preserve">ПКУ-10-НОЛ08-3</t>
  </si>
  <si>
    <t xml:space="preserve">-для опросного листа</t>
  </si>
  <si>
    <t xml:space="preserve">Формирование номера схемы МН:</t>
  </si>
  <si>
    <t xml:space="preserve">ХХ - исполнение шкафа учета</t>
  </si>
  <si>
    <t xml:space="preserve">счетчик 
</t>
  </si>
  <si>
    <t xml:space="preserve">обогрев шкафа учета</t>
  </si>
  <si>
    <t xml:space="preserve">GSM модем С1-02 с антенной</t>
  </si>
  <si>
    <t xml:space="preserve">GSM модем RX-108-R4 с антенной</t>
  </si>
  <si>
    <r>
      <rPr>
        <sz val="11"/>
        <color rgb="FF000000"/>
        <rFont val="Calibri"/>
        <family val="2"/>
        <charset val="204"/>
      </rPr>
      <t xml:space="preserve">встроенный GSM модем С1-02.01 с антенной</t>
    </r>
    <r>
      <rPr>
        <b val="true"/>
        <sz val="18"/>
        <color rgb="FF000000"/>
        <rFont val="Calibri"/>
        <family val="2"/>
        <charset val="204"/>
      </rPr>
      <t xml:space="preserve"> *</t>
    </r>
  </si>
  <si>
    <t xml:space="preserve">концевой выкл.шкафа учета</t>
  </si>
  <si>
    <t xml:space="preserve">генератор кода</t>
  </si>
  <si>
    <t xml:space="preserve">00</t>
  </si>
  <si>
    <t xml:space="preserve">С29=</t>
  </si>
  <si>
    <t xml:space="preserve">01</t>
  </si>
  <si>
    <t xml:space="preserve">С32=</t>
  </si>
  <si>
    <t xml:space="preserve">02</t>
  </si>
  <si>
    <t xml:space="preserve">03</t>
  </si>
  <si>
    <t xml:space="preserve">04</t>
  </si>
  <si>
    <t xml:space="preserve">05</t>
  </si>
  <si>
    <t xml:space="preserve">06</t>
  </si>
  <si>
    <t xml:space="preserve">07</t>
  </si>
  <si>
    <t xml:space="preserve">*</t>
  </si>
  <si>
    <t xml:space="preserve">СЭТ-4ТМ</t>
  </si>
  <si>
    <t xml:space="preserve">контроль/замена</t>
  </si>
  <si>
    <t xml:space="preserve">ПСЧ-4ТМ.05МК</t>
  </si>
  <si>
    <t xml:space="preserve">PВ.G</t>
  </si>
  <si>
    <t xml:space="preserve">Формирование номера схемы счетчика:</t>
  </si>
  <si>
    <t xml:space="preserve">F86</t>
  </si>
  <si>
    <t xml:space="preserve">F104</t>
  </si>
  <si>
    <t xml:space="preserve">'ОЛ ПКУ'!K31</t>
  </si>
  <si>
    <t xml:space="preserve">МВ</t>
  </si>
  <si>
    <t xml:space="preserve"> ТН + ТТ </t>
  </si>
  <si>
    <t xml:space="preserve">Схема ПКУ</t>
  </si>
  <si>
    <t xml:space="preserve">МН</t>
  </si>
  <si>
    <t xml:space="preserve">код</t>
  </si>
  <si>
    <t xml:space="preserve">Списки счетчиков</t>
  </si>
  <si>
    <t xml:space="preserve">ПКУ-10-Н-2 МВ</t>
  </si>
  <si>
    <t xml:space="preserve">2хНОЛП - 2хТПОЛ </t>
  </si>
  <si>
    <t xml:space="preserve">ПКУ-10-Н-2-ХХ</t>
  </si>
  <si>
    <t xml:space="preserve">-00           </t>
  </si>
  <si>
    <t xml:space="preserve">ПКУ-10-СЭТ-1-00 PIK</t>
  </si>
  <si>
    <t xml:space="preserve">-01            </t>
  </si>
  <si>
    <t xml:space="preserve">ПКУ-10-ПСЧ-1-00 PIK</t>
  </si>
  <si>
    <t xml:space="preserve">-03</t>
  </si>
  <si>
    <t xml:space="preserve">ПКУ-10-М234-1-00 PIK</t>
  </si>
  <si>
    <t xml:space="preserve">-04 </t>
  </si>
  <si>
    <t xml:space="preserve">ПКУ-10-СЕ303-1-00 PIK</t>
  </si>
  <si>
    <t xml:space="preserve">-05</t>
  </si>
  <si>
    <t xml:space="preserve">сч.нестандарт</t>
  </si>
  <si>
    <t xml:space="preserve">-06 </t>
  </si>
  <si>
    <t xml:space="preserve">резерв</t>
  </si>
  <si>
    <t xml:space="preserve">-02          </t>
  </si>
  <si>
    <t xml:space="preserve">ПКУ-10-ПСЧ-1-02 PIK </t>
  </si>
  <si>
    <t xml:space="preserve">-07</t>
  </si>
  <si>
    <t xml:space="preserve">ПКУ-10-СЭТ-1-02 PIK</t>
  </si>
  <si>
    <t xml:space="preserve">Схема счетчика по типу</t>
  </si>
  <si>
    <t xml:space="preserve">ПКУ-10-ЗН-2 МВ</t>
  </si>
  <si>
    <t xml:space="preserve">3хЗНОЛП - 2хТПОЛ</t>
  </si>
  <si>
    <t xml:space="preserve">ПКУ-10-ЗН-2-ХХ</t>
  </si>
  <si>
    <t xml:space="preserve">ПКУ-10-СЭТ-3-00 PIK</t>
  </si>
  <si>
    <t xml:space="preserve">ПКУ-10-ПСЧ-3-00 PIK</t>
  </si>
  <si>
    <t xml:space="preserve">ПКУ-10-М234-3-00 PIK</t>
  </si>
  <si>
    <t xml:space="preserve">ПКУ-10-СЕ303-3-00 PIK</t>
  </si>
  <si>
    <t xml:space="preserve">-02           </t>
  </si>
  <si>
    <t xml:space="preserve">ПКУ-10-ПСЧ-3-02 PIK</t>
  </si>
  <si>
    <t xml:space="preserve">ПКУ-10-СЭТ-3-02 PIK</t>
  </si>
  <si>
    <t xml:space="preserve">ПКУ-10-НОЛ.08-2  МВ</t>
  </si>
  <si>
    <t xml:space="preserve">3хНОЛ.08 - 2хТПОЛ</t>
  </si>
  <si>
    <t xml:space="preserve">ПКУ-10-НОЛ.08-2-ХХ</t>
  </si>
  <si>
    <t xml:space="preserve">-02.1            </t>
  </si>
  <si>
    <t xml:space="preserve">-07.1</t>
  </si>
  <si>
    <t xml:space="preserve">-02.2</t>
  </si>
  <si>
    <t xml:space="preserve">-07.2</t>
  </si>
  <si>
    <t xml:space="preserve">ПКУ-10-Н-3 МВ</t>
  </si>
  <si>
    <t xml:space="preserve">2хНОЛП - 3хТПОЛ </t>
  </si>
  <si>
    <t xml:space="preserve">ПКУ-10-Н-3-ХХ</t>
  </si>
  <si>
    <t xml:space="preserve">ПКУ-10-СЭТ-2-00 PIK</t>
  </si>
  <si>
    <t xml:space="preserve">ПКУ-10-ПСЧ-2-00 PIK</t>
  </si>
  <si>
    <t xml:space="preserve">ПКУ-10-М234-2-00 PIK</t>
  </si>
  <si>
    <t xml:space="preserve">ПКУ-10-СЕ303-2-00 PIK</t>
  </si>
  <si>
    <t xml:space="preserve">-02         </t>
  </si>
  <si>
    <t xml:space="preserve">ПКУ-10-ПСЧ-2-02 PIK</t>
  </si>
  <si>
    <t xml:space="preserve">ПКУ-10-СЭТ-2-02 PIK</t>
  </si>
  <si>
    <t xml:space="preserve">ПКУ-10-ЗН-3 МВ</t>
  </si>
  <si>
    <t xml:space="preserve">3хЗНОЛП - 3хТПОЛ</t>
  </si>
  <si>
    <t xml:space="preserve">ПКУ-10-ЗН-3-ХХ</t>
  </si>
  <si>
    <t xml:space="preserve">ПКУ-10-СЭТ-4-00 PIK</t>
  </si>
  <si>
    <t xml:space="preserve">ПКУ-10-ПСЧ-4-00 PIK</t>
  </si>
  <si>
    <t xml:space="preserve">ПКУ-10-М234-4-00 PIK</t>
  </si>
  <si>
    <t xml:space="preserve">ПКУ-10-СЕ303-4-00 PIK</t>
  </si>
  <si>
    <t xml:space="preserve">ПКУ-10-ПСЧ-4-02 PIK</t>
  </si>
  <si>
    <t xml:space="preserve">ПКУ-10-СЭТ-4-02 PIK</t>
  </si>
  <si>
    <t xml:space="preserve">ПКУ-10-НОЛ.08-3 МВ</t>
  </si>
  <si>
    <t xml:space="preserve">3хНОЛ.08 - 3хТПОЛ</t>
  </si>
  <si>
    <t xml:space="preserve">ПКУ-10-НОЛ.08-3-ХХ</t>
  </si>
  <si>
    <t xml:space="preserve">Количество обмоток</t>
  </si>
  <si>
    <t xml:space="preserve">Вторая обмотка - 10Р</t>
  </si>
  <si>
    <t xml:space="preserve">ОАО «Свердловский завод трансформаторов тока»</t>
  </si>
  <si>
    <t xml:space="preserve">620043, Россия, г.Екатеринбург, ул.Черкасская,25</t>
  </si>
  <si>
    <t xml:space="preserve">телефон: /343/234-31-04</t>
  </si>
  <si>
    <t xml:space="preserve">http://www.cztt.ru </t>
  </si>
  <si>
    <t xml:space="preserve">факс: /343/212-52-55</t>
  </si>
  <si>
    <t xml:space="preserve">e-mail:cztt@cztt.ru</t>
  </si>
  <si>
    <r>
      <rPr>
        <sz val="12"/>
        <color rgb="FF000000"/>
        <rFont val="Times New Roman"/>
        <family val="1"/>
        <charset val="204"/>
      </rPr>
      <t xml:space="preserve">            </t>
    </r>
    <r>
      <rPr>
        <b val="true"/>
        <sz val="12"/>
        <color rgb="FF000000"/>
        <rFont val="Times New Roman"/>
        <family val="1"/>
        <charset val="204"/>
      </rPr>
      <t xml:space="preserve">Опросный лист</t>
    </r>
  </si>
  <si>
    <t xml:space="preserve">Для заказа трансформаторов тока з/з №</t>
  </si>
  <si>
    <r>
      <rPr>
        <b val="true"/>
        <sz val="10.5"/>
        <color rgb="FF000000"/>
        <rFont val="Times New Roman"/>
        <family val="1"/>
        <charset val="204"/>
      </rPr>
      <t xml:space="preserve">Организация     </t>
    </r>
    <r>
      <rPr>
        <b val="true"/>
        <sz val="10.5"/>
        <color rgb="FFFFFFFF"/>
        <rFont val="Times New Roman"/>
        <family val="1"/>
        <charset val="204"/>
      </rPr>
      <t xml:space="preserve">.</t>
    </r>
  </si>
  <si>
    <r>
      <rPr>
        <b val="true"/>
        <sz val="10.5"/>
        <color rgb="FF000000"/>
        <rFont val="Times New Roman"/>
        <family val="1"/>
        <charset val="204"/>
      </rPr>
      <t xml:space="preserve">Контактное лицо     </t>
    </r>
    <r>
      <rPr>
        <b val="true"/>
        <sz val="10.5"/>
        <color rgb="FFFFFFFF"/>
        <rFont val="Times New Roman"/>
        <family val="1"/>
        <charset val="204"/>
      </rPr>
      <t xml:space="preserve">.</t>
    </r>
  </si>
  <si>
    <r>
      <rPr>
        <b val="true"/>
        <sz val="10.5"/>
        <color rgb="FF000000"/>
        <rFont val="Times New Roman"/>
        <family val="1"/>
        <charset val="204"/>
      </rPr>
      <t xml:space="preserve">Контактный телефон     </t>
    </r>
    <r>
      <rPr>
        <b val="true"/>
        <sz val="10.5"/>
        <color rgb="FFFFFFFF"/>
        <rFont val="Times New Roman"/>
        <family val="1"/>
        <charset val="204"/>
      </rPr>
      <t xml:space="preserve">.</t>
    </r>
  </si>
  <si>
    <r>
      <rPr>
        <b val="true"/>
        <sz val="10.5"/>
        <color rgb="FF000000"/>
        <rFont val="Times New Roman"/>
        <family val="1"/>
        <charset val="204"/>
      </rPr>
      <t xml:space="preserve">e-mail:     </t>
    </r>
    <r>
      <rPr>
        <b val="true"/>
        <sz val="10.5"/>
        <color rgb="FFFFFFFF"/>
        <rFont val="Times New Roman"/>
        <family val="1"/>
        <charset val="204"/>
      </rPr>
      <t xml:space="preserve">.</t>
    </r>
  </si>
  <si>
    <t xml:space="preserve">Наименование параметров</t>
  </si>
  <si>
    <t xml:space="preserve">Характеристики</t>
  </si>
  <si>
    <t xml:space="preserve">Тип трансформатора</t>
  </si>
  <si>
    <t xml:space="preserve">Количество, штук</t>
  </si>
  <si>
    <t xml:space="preserve">Климатическое исполнение</t>
  </si>
  <si>
    <t xml:space="preserve">УХЛ1</t>
  </si>
  <si>
    <t xml:space="preserve">Номинальное напряжение, кВ.</t>
  </si>
  <si>
    <t xml:space="preserve">Наибольшее рабочее напряжение, кВ.</t>
  </si>
  <si>
    <t xml:space="preserve">Номинальная частота, Гц.</t>
  </si>
  <si>
    <t xml:space="preserve">№1</t>
  </si>
  <si>
    <t xml:space="preserve">№2</t>
  </si>
  <si>
    <t xml:space="preserve">№3</t>
  </si>
  <si>
    <t xml:space="preserve">№4</t>
  </si>
  <si>
    <t xml:space="preserve">Номинальный первичный ток, А.</t>
  </si>
  <si>
    <t xml:space="preserve">Номинальный вторичный ток, А.</t>
  </si>
  <si>
    <t xml:space="preserve">Номинальный класс точности вторичных обмоток.</t>
  </si>
  <si>
    <t xml:space="preserve">Номинальная  вторичная нагрузка, ВА</t>
  </si>
  <si>
    <t xml:space="preserve">Номинальный коэффициент безопасности приборов обмотки для измерений</t>
  </si>
  <si>
    <t xml:space="preserve">Номинальная предельная кратность  обмотки для защиты.</t>
  </si>
  <si>
    <t xml:space="preserve">Ток термической стойкости, кА   t= 1с  </t>
  </si>
  <si>
    <t xml:space="preserve">Ток электродинамической стойкости.</t>
  </si>
  <si>
    <t xml:space="preserve">http://www.cztt.ru</t>
  </si>
  <si>
    <t xml:space="preserve">Для заказа трансформаторов напряжения з/з №  ____________</t>
  </si>
  <si>
    <t xml:space="preserve">e-mail</t>
  </si>
  <si>
    <t xml:space="preserve">У2</t>
  </si>
  <si>
    <t xml:space="preserve">Класс напряжения первичной обмотки, кВ</t>
  </si>
  <si>
    <t xml:space="preserve">Номинальное напряжение первичной обмотки, В</t>
  </si>
  <si>
    <t xml:space="preserve">Номинальное напряжение измерительной вторичной обмотки, В</t>
  </si>
  <si>
    <t xml:space="preserve">Номинальное напряжение дополнительной вторичной обмотки, В</t>
  </si>
  <si>
    <t xml:space="preserve">Класс точности измерительной вторичной обмотки</t>
  </si>
  <si>
    <t xml:space="preserve">Класс точности дополнительной вторичной обмотки</t>
  </si>
  <si>
    <t xml:space="preserve">Номинальная мощность дополнительной вторичной обмотки в классе точности  3, ВА</t>
  </si>
  <si>
    <t xml:space="preserve">Условия применения трансформатора (в сетях, на подстанции)</t>
  </si>
  <si>
    <t xml:space="preserve">Контактные телефоны (факс, e-mail) службы эксплуатации</t>
  </si>
  <si>
    <t xml:space="preserve">Информация о ранее установленных трансформаторах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</si>
</sst>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General"/>
    <numFmt numFmtId="167" formatCode="0.00"/>
  </numFmts>
  <fonts count="61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 Cyr"/>
      <family val="0"/>
      <charset val="204"/>
    </font>
    <font>
      <b val="true"/>
      <sz val="11"/>
      <color rgb="FF000000"/>
      <name val="Calibri"/>
      <family val="2"/>
      <charset val="204"/>
    </font>
    <font>
      <b val="true"/>
      <sz val="11"/>
      <color rgb="FF000000"/>
      <name val="Arial"/>
      <family val="2"/>
      <charset val="204"/>
    </font>
    <font>
      <b val="true"/>
      <sz val="12"/>
      <name val="Arial Cyr"/>
      <family val="0"/>
      <charset val="204"/>
    </font>
    <font>
      <b val="true"/>
      <sz val="12"/>
      <color rgb="FFC00000"/>
      <name val="Arial"/>
      <family val="2"/>
      <charset val="204"/>
    </font>
    <font>
      <u val="single"/>
      <sz val="11"/>
      <color rgb="FF0000FF"/>
      <name val="Calibri"/>
      <family val="2"/>
      <charset val="204"/>
    </font>
    <font>
      <b val="true"/>
      <sz val="11"/>
      <name val="Arial"/>
      <family val="2"/>
      <charset val="204"/>
    </font>
    <font>
      <b val="true"/>
      <sz val="16"/>
      <color rgb="FF000000"/>
      <name val="Arial"/>
      <family val="2"/>
      <charset val="204"/>
    </font>
    <font>
      <b val="true"/>
      <sz val="11"/>
      <color rgb="FF00B050"/>
      <name val="Arial"/>
      <family val="2"/>
      <charset val="204"/>
    </font>
    <font>
      <b val="true"/>
      <sz val="11"/>
      <color rgb="FF0033CC"/>
      <name val="Arial"/>
      <family val="2"/>
      <charset val="204"/>
    </font>
    <font>
      <b val="true"/>
      <sz val="11"/>
      <color rgb="FFEEECE1"/>
      <name val="Arial"/>
      <family val="2"/>
      <charset val="204"/>
    </font>
    <font>
      <b val="true"/>
      <sz val="11"/>
      <color rgb="FFFFFFFF"/>
      <name val="Arial"/>
      <family val="2"/>
      <charset val="204"/>
    </font>
    <font>
      <b val="true"/>
      <sz val="11"/>
      <color rgb="FFEEECE1"/>
      <name val="Calibri"/>
      <family val="2"/>
      <charset val="204"/>
    </font>
    <font>
      <b val="true"/>
      <sz val="11"/>
      <color rgb="FFC00000"/>
      <name val="Arial"/>
      <family val="2"/>
      <charset val="204"/>
    </font>
    <font>
      <sz val="11"/>
      <color rgb="FF000000"/>
      <name val="Arial"/>
      <family val="2"/>
      <charset val="204"/>
    </font>
    <font>
      <b val="true"/>
      <sz val="10"/>
      <color rgb="FF17375E"/>
      <name val="Arial"/>
      <family val="2"/>
      <charset val="204"/>
    </font>
    <font>
      <b val="true"/>
      <sz val="14"/>
      <color rgb="FF000000"/>
      <name val="Arial"/>
      <family val="2"/>
      <charset val="204"/>
    </font>
    <font>
      <b val="true"/>
      <sz val="11"/>
      <color rgb="FF17375E"/>
      <name val="Arial"/>
      <family val="2"/>
      <charset val="204"/>
    </font>
    <font>
      <b val="true"/>
      <sz val="16"/>
      <color rgb="FFC00000"/>
      <name val="Arial Cyr"/>
      <family val="0"/>
      <charset val="204"/>
    </font>
    <font>
      <b val="true"/>
      <sz val="11"/>
      <color rgb="FF1F497D"/>
      <name val="Arial"/>
      <family val="2"/>
      <charset val="204"/>
    </font>
    <font>
      <b val="true"/>
      <sz val="10"/>
      <color rgb="FF1F497D"/>
      <name val="Arial"/>
      <family val="2"/>
      <charset val="204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 val="true"/>
      <sz val="12"/>
      <name val="Arial"/>
      <family val="2"/>
      <charset val="204"/>
    </font>
    <font>
      <sz val="12"/>
      <name val="Arial"/>
      <family val="2"/>
      <charset val="204"/>
    </font>
    <font>
      <sz val="12"/>
      <color rgb="FF000000"/>
      <name val="Calibri"/>
      <family val="2"/>
      <charset val="204"/>
    </font>
    <font>
      <sz val="12"/>
      <color rgb="FFFF0000"/>
      <name val="Arial"/>
      <family val="2"/>
      <charset val="204"/>
    </font>
    <font>
      <sz val="10"/>
      <name val="Arial"/>
      <family val="2"/>
      <charset val="204"/>
    </font>
    <font>
      <b val="true"/>
      <sz val="12"/>
      <color rgb="FF000000"/>
      <name val="Arial"/>
      <family val="2"/>
      <charset val="204"/>
    </font>
    <font>
      <sz val="11"/>
      <name val="Calibri"/>
      <family val="2"/>
      <charset val="204"/>
    </font>
    <font>
      <b val="true"/>
      <sz val="10"/>
      <color rgb="FF000000"/>
      <name val="Arial"/>
      <family val="2"/>
      <charset val="204"/>
    </font>
    <font>
      <u val="single"/>
      <sz val="12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9"/>
      <color rgb="FF000000"/>
      <name val="Calibri"/>
      <family val="2"/>
      <charset val="204"/>
    </font>
    <font>
      <sz val="11"/>
      <name val="Arial"/>
      <family val="2"/>
      <charset val="204"/>
    </font>
    <font>
      <b val="true"/>
      <sz val="16"/>
      <color rgb="FF0033CC"/>
      <name val="Arial"/>
      <family val="2"/>
      <charset val="204"/>
    </font>
    <font>
      <b val="true"/>
      <sz val="14"/>
      <color rgb="FF000000"/>
      <name val="Calibri"/>
      <family val="2"/>
      <charset val="204"/>
    </font>
    <font>
      <b val="true"/>
      <sz val="16"/>
      <color rgb="FF000000"/>
      <name val="Calibri"/>
      <family val="2"/>
      <charset val="204"/>
    </font>
    <font>
      <b val="true"/>
      <sz val="12"/>
      <color rgb="FF0033CC"/>
      <name val="Arial"/>
      <family val="2"/>
      <charset val="204"/>
    </font>
    <font>
      <b val="true"/>
      <sz val="18"/>
      <color rgb="FF000000"/>
      <name val="Calibri"/>
      <family val="2"/>
      <charset val="204"/>
    </font>
    <font>
      <sz val="11"/>
      <color rgb="FF31859C"/>
      <name val="Calibri"/>
      <family val="2"/>
      <charset val="204"/>
    </font>
    <font>
      <sz val="12"/>
      <color rgb="FF31859C"/>
      <name val="Arial"/>
      <family val="2"/>
      <charset val="204"/>
    </font>
    <font>
      <b val="true"/>
      <sz val="11"/>
      <color rgb="FF4F6228"/>
      <name val="Arial"/>
      <family val="2"/>
      <charset val="204"/>
    </font>
    <font>
      <sz val="11"/>
      <color rgb="FF31859C"/>
      <name val="Arial"/>
      <family val="2"/>
      <charset val="204"/>
    </font>
    <font>
      <b val="true"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i val="true"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0.5"/>
      <color rgb="FF000000"/>
      <name val="Times New Roman"/>
      <family val="1"/>
      <charset val="204"/>
    </font>
    <font>
      <b val="true"/>
      <sz val="10.5"/>
      <color rgb="FFFFFFFF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u val="single"/>
      <sz val="11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1"/>
      <color rgb="FFFF0000"/>
      <name val="Wingdings"/>
      <family val="0"/>
      <charset val="2"/>
    </font>
  </fonts>
  <fills count="9">
    <fill>
      <patternFill patternType="none"/>
    </fill>
    <fill>
      <patternFill patternType="gray125"/>
    </fill>
    <fill>
      <patternFill patternType="solid">
        <fgColor rgb="FFB9CDE5"/>
        <bgColor rgb="FFC6D9F1"/>
      </patternFill>
    </fill>
    <fill>
      <patternFill patternType="solid">
        <fgColor rgb="FFFF99FF"/>
        <bgColor rgb="FFCC99FF"/>
      </patternFill>
    </fill>
    <fill>
      <patternFill patternType="solid">
        <fgColor rgb="FFFFFFFF"/>
        <bgColor rgb="FFEEECE1"/>
      </patternFill>
    </fill>
    <fill>
      <patternFill patternType="solid">
        <fgColor rgb="FFFFCCCC"/>
        <bgColor rgb="FFEEECE1"/>
      </patternFill>
    </fill>
    <fill>
      <patternFill patternType="solid">
        <fgColor rgb="FFC6D9F1"/>
        <bgColor rgb="FFB9CDE5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9900"/>
      </patternFill>
    </fill>
  </fills>
  <borders count="55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ck"/>
      <right style="medium"/>
      <top/>
      <bottom/>
      <diagonal/>
    </border>
    <border diagonalUp="false" diagonalDown="false">
      <left style="thick"/>
      <right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ck"/>
      <top style="thick"/>
      <bottom style="medium"/>
      <diagonal/>
    </border>
    <border diagonalUp="false" diagonalDown="false">
      <left style="medium"/>
      <right style="thick"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 style="thick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/>
      <right style="thick"/>
      <top style="thick"/>
      <bottom style="medium"/>
      <diagonal/>
    </border>
    <border diagonalUp="false" diagonalDown="false">
      <left style="thick"/>
      <right style="medium"/>
      <top/>
      <bottom style="medium"/>
      <diagonal/>
    </border>
    <border diagonalUp="false" diagonalDown="false">
      <left style="medium"/>
      <right style="thick"/>
      <top/>
      <bottom style="medium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8" fillId="2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2" borderId="4" xfId="2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3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0" borderId="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5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10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4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0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5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6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7" fillId="2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0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5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4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6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5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4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7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9" fillId="4" borderId="17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1" fillId="4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4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4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4" borderId="2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1" fillId="4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4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6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3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24" fillId="0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2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5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5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26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5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34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5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5" fillId="7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0" borderId="2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7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8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9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5" fillId="0" borderId="2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5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2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8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7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25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3" fillId="7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26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7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3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3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7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8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0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3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4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54" fillId="0" borderId="3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4" fillId="0" borderId="3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4" borderId="3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4" fillId="0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54" fillId="0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4" fillId="0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4" borderId="4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4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4" fillId="0" borderId="4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9" fillId="0" borderId="42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54" fillId="0" borderId="4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4" borderId="4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2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4" fillId="0" borderId="4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2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26" fillId="0" borderId="4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4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4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6" fillId="4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6" fillId="0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8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8" fillId="0" borderId="4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54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4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4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4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4" fillId="0" borderId="5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4" fillId="0" borderId="4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9" fillId="0" borderId="49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5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0" borderId="5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5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26" fillId="0" borderId="5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1"/>
    <cellStyle name="Обычный 3" xfId="22"/>
    <cellStyle name="Обычный 4" xfId="23"/>
    <cellStyle name="*unknown*" xfId="20" builtinId="8"/>
  </cellStyles>
  <dxfs count="11">
    <dxf>
      <fill>
        <patternFill>
          <bgColor rgb="FFB9CDE5"/>
        </patternFill>
      </fill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B9CDE5"/>
        </patternFill>
      </fill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92D050"/>
        </patternFill>
      </fill>
      <border diagonalUp="false" diagonalDown="false">
        <left style="thin"/>
        <right style="thin"/>
        <top style="thin"/>
        <bottom style="thin"/>
        <diagonal/>
      </border>
    </dxf>
    <dxf>
      <font>
        <color rgb="FFFFFFFF"/>
      </font>
      <fill>
        <patternFill>
          <bgColor rgb="FF92D050"/>
        </patternFill>
      </fill>
      <border diagonalUp="false" diagonalDown="false">
        <left style="thin"/>
        <right style="thin"/>
        <top style="thin"/>
        <bottom style="thin"/>
        <diagonal/>
      </border>
    </dxf>
    <dxf>
      <font>
        <color rgb="FFFFFFFF"/>
      </font>
      <fill>
        <patternFill>
          <bgColor rgb="FF92D050"/>
        </patternFill>
      </fill>
      <border diagonalUp="false" diagonalDown="false">
        <left style="thin"/>
        <right style="thin"/>
        <top style="thin"/>
        <bottom style="thin"/>
        <diagonal/>
      </border>
    </dxf>
    <dxf>
      <font>
        <color rgb="FFFF0000"/>
      </font>
      <fill>
        <patternFill>
          <bgColor rgb="FFFF0000"/>
        </patternFill>
      </fill>
    </dxf>
    <dxf>
      <fill>
        <patternFill>
          <bgColor rgb="FF92D050"/>
        </patternFill>
      </fill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B9CDE5"/>
        </patternFill>
      </fill>
      <border diagonalUp="false" diagonalDown="false">
        <left style="thin"/>
        <right style="thin"/>
        <top style="thin"/>
        <bottom style="thin"/>
        <diagonal/>
      </border>
    </dxf>
    <dxf>
      <font>
        <strike val="0"/>
        <color rgb="FFFF0000"/>
      </font>
      <fill>
        <patternFill>
          <bgColor rgb="FF92D050"/>
        </patternFill>
      </fill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B9CDE5"/>
        </patternFill>
      </fill>
      <border diagonalUp="false" diagonalDown="false">
        <left style="thin"/>
        <right style="thin"/>
        <top style="thin"/>
        <bottom style="thin"/>
        <diagonal/>
      </border>
    </dxf>
    <dxf>
      <font>
        <b val="1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4F6228"/>
      <rgbColor rgb="FF800080"/>
      <rgbColor rgb="FF00B050"/>
      <rgbColor rgb="FFB9CDE5"/>
      <rgbColor rgb="FF808080"/>
      <rgbColor rgb="FF9999FF"/>
      <rgbColor rgb="FF993366"/>
      <rgbColor rgb="FFEEECE1"/>
      <rgbColor rgb="FFCCFFFF"/>
      <rgbColor rgb="FF660066"/>
      <rgbColor rgb="FFFF8080"/>
      <rgbColor rgb="FF0033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FF"/>
      <rgbColor rgb="FFCC99FF"/>
      <rgbColor rgb="FFFFCCCC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17375E"/>
      <rgbColor rgb="FF31859C"/>
      <rgbColor rgb="FF003300"/>
      <rgbColor rgb="FF333300"/>
      <rgbColor rgb="FF993300"/>
      <rgbColor rgb="FF993366"/>
      <rgbColor rgb="FF1F497D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380520</xdr:colOff>
      <xdr:row>90</xdr:row>
      <xdr:rowOff>61200</xdr:rowOff>
    </xdr:from>
    <xdr:to>
      <xdr:col>2</xdr:col>
      <xdr:colOff>492120</xdr:colOff>
      <xdr:row>90</xdr:row>
      <xdr:rowOff>172800</xdr:rowOff>
    </xdr:to>
    <xdr:sp>
      <xdr:nvSpPr>
        <xdr:cNvPr id="0" name="Овал 46"/>
        <xdr:cNvSpPr/>
      </xdr:nvSpPr>
      <xdr:spPr>
        <a:xfrm>
          <a:off x="4956840" y="17941320"/>
          <a:ext cx="111600" cy="111600"/>
        </a:xfrm>
        <a:prstGeom prst="ellipse">
          <a:avLst/>
        </a:prstGeom>
        <a:solidFill>
          <a:srgbClr val="4f81bd"/>
        </a:solidFill>
        <a:ln w="0">
          <a:solidFill>
            <a:srgbClr val="3a5f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</xdr:col>
      <xdr:colOff>380520</xdr:colOff>
      <xdr:row>90</xdr:row>
      <xdr:rowOff>61200</xdr:rowOff>
    </xdr:from>
    <xdr:to>
      <xdr:col>3</xdr:col>
      <xdr:colOff>492120</xdr:colOff>
      <xdr:row>90</xdr:row>
      <xdr:rowOff>172800</xdr:rowOff>
    </xdr:to>
    <xdr:sp>
      <xdr:nvSpPr>
        <xdr:cNvPr id="1" name="Овал 47"/>
        <xdr:cNvSpPr/>
      </xdr:nvSpPr>
      <xdr:spPr>
        <a:xfrm>
          <a:off x="5632560" y="17941320"/>
          <a:ext cx="111600" cy="111600"/>
        </a:xfrm>
        <a:prstGeom prst="ellipse">
          <a:avLst/>
        </a:prstGeom>
        <a:solidFill>
          <a:srgbClr val="4f81bd"/>
        </a:solidFill>
        <a:ln w="0">
          <a:solidFill>
            <a:srgbClr val="3a5f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4</xdr:col>
      <xdr:colOff>380520</xdr:colOff>
      <xdr:row>90</xdr:row>
      <xdr:rowOff>61200</xdr:rowOff>
    </xdr:from>
    <xdr:to>
      <xdr:col>4</xdr:col>
      <xdr:colOff>492120</xdr:colOff>
      <xdr:row>90</xdr:row>
      <xdr:rowOff>172800</xdr:rowOff>
    </xdr:to>
    <xdr:sp>
      <xdr:nvSpPr>
        <xdr:cNvPr id="2" name="Овал 48"/>
        <xdr:cNvSpPr/>
      </xdr:nvSpPr>
      <xdr:spPr>
        <a:xfrm>
          <a:off x="6307920" y="17941320"/>
          <a:ext cx="111600" cy="111600"/>
        </a:xfrm>
        <a:prstGeom prst="ellipse">
          <a:avLst/>
        </a:prstGeom>
        <a:solidFill>
          <a:srgbClr val="4f81bd"/>
        </a:solidFill>
        <a:ln w="0">
          <a:solidFill>
            <a:srgbClr val="3a5f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7</xdr:col>
      <xdr:colOff>380520</xdr:colOff>
      <xdr:row>90</xdr:row>
      <xdr:rowOff>61200</xdr:rowOff>
    </xdr:from>
    <xdr:to>
      <xdr:col>7</xdr:col>
      <xdr:colOff>492120</xdr:colOff>
      <xdr:row>90</xdr:row>
      <xdr:rowOff>172800</xdr:rowOff>
    </xdr:to>
    <xdr:sp>
      <xdr:nvSpPr>
        <xdr:cNvPr id="3" name="Овал 49"/>
        <xdr:cNvSpPr/>
      </xdr:nvSpPr>
      <xdr:spPr>
        <a:xfrm>
          <a:off x="8335080" y="17941320"/>
          <a:ext cx="111600" cy="111600"/>
        </a:xfrm>
        <a:prstGeom prst="ellipse">
          <a:avLst/>
        </a:prstGeom>
        <a:solidFill>
          <a:srgbClr val="4f81bd"/>
        </a:solidFill>
        <a:ln w="0">
          <a:solidFill>
            <a:srgbClr val="3a5f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2</xdr:col>
      <xdr:colOff>380520</xdr:colOff>
      <xdr:row>91</xdr:row>
      <xdr:rowOff>61200</xdr:rowOff>
    </xdr:from>
    <xdr:to>
      <xdr:col>2</xdr:col>
      <xdr:colOff>492120</xdr:colOff>
      <xdr:row>91</xdr:row>
      <xdr:rowOff>172800</xdr:rowOff>
    </xdr:to>
    <xdr:sp>
      <xdr:nvSpPr>
        <xdr:cNvPr id="4" name="Овал 50"/>
        <xdr:cNvSpPr/>
      </xdr:nvSpPr>
      <xdr:spPr>
        <a:xfrm>
          <a:off x="4956840" y="18141480"/>
          <a:ext cx="111600" cy="111600"/>
        </a:xfrm>
        <a:prstGeom prst="ellipse">
          <a:avLst/>
        </a:prstGeom>
        <a:solidFill>
          <a:srgbClr val="4f81bd"/>
        </a:solidFill>
        <a:ln w="0">
          <a:solidFill>
            <a:srgbClr val="3a5f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</xdr:col>
      <xdr:colOff>380520</xdr:colOff>
      <xdr:row>91</xdr:row>
      <xdr:rowOff>61200</xdr:rowOff>
    </xdr:from>
    <xdr:to>
      <xdr:col>3</xdr:col>
      <xdr:colOff>492120</xdr:colOff>
      <xdr:row>91</xdr:row>
      <xdr:rowOff>172800</xdr:rowOff>
    </xdr:to>
    <xdr:sp>
      <xdr:nvSpPr>
        <xdr:cNvPr id="5" name="Овал 51"/>
        <xdr:cNvSpPr/>
      </xdr:nvSpPr>
      <xdr:spPr>
        <a:xfrm>
          <a:off x="5632560" y="18141480"/>
          <a:ext cx="111600" cy="111600"/>
        </a:xfrm>
        <a:prstGeom prst="ellipse">
          <a:avLst/>
        </a:prstGeom>
        <a:solidFill>
          <a:srgbClr val="4f81bd"/>
        </a:solidFill>
        <a:ln w="0">
          <a:solidFill>
            <a:srgbClr val="3a5f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5</xdr:col>
      <xdr:colOff>380520</xdr:colOff>
      <xdr:row>91</xdr:row>
      <xdr:rowOff>61200</xdr:rowOff>
    </xdr:from>
    <xdr:to>
      <xdr:col>5</xdr:col>
      <xdr:colOff>492120</xdr:colOff>
      <xdr:row>91</xdr:row>
      <xdr:rowOff>172800</xdr:rowOff>
    </xdr:to>
    <xdr:sp>
      <xdr:nvSpPr>
        <xdr:cNvPr id="6" name="Овал 52"/>
        <xdr:cNvSpPr/>
      </xdr:nvSpPr>
      <xdr:spPr>
        <a:xfrm>
          <a:off x="6983640" y="18141480"/>
          <a:ext cx="111600" cy="111600"/>
        </a:xfrm>
        <a:prstGeom prst="ellipse">
          <a:avLst/>
        </a:prstGeom>
        <a:solidFill>
          <a:srgbClr val="4f81bd"/>
        </a:solidFill>
        <a:ln w="0">
          <a:solidFill>
            <a:srgbClr val="3a5f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7</xdr:col>
      <xdr:colOff>380520</xdr:colOff>
      <xdr:row>91</xdr:row>
      <xdr:rowOff>61200</xdr:rowOff>
    </xdr:from>
    <xdr:to>
      <xdr:col>7</xdr:col>
      <xdr:colOff>492120</xdr:colOff>
      <xdr:row>91</xdr:row>
      <xdr:rowOff>172800</xdr:rowOff>
    </xdr:to>
    <xdr:sp>
      <xdr:nvSpPr>
        <xdr:cNvPr id="7" name="Овал 53"/>
        <xdr:cNvSpPr/>
      </xdr:nvSpPr>
      <xdr:spPr>
        <a:xfrm>
          <a:off x="8335080" y="18141480"/>
          <a:ext cx="111600" cy="111600"/>
        </a:xfrm>
        <a:prstGeom prst="ellipse">
          <a:avLst/>
        </a:prstGeom>
        <a:solidFill>
          <a:srgbClr val="4f81bd"/>
        </a:solidFill>
        <a:ln w="0">
          <a:solidFill>
            <a:srgbClr val="3a5f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2</xdr:col>
      <xdr:colOff>380520</xdr:colOff>
      <xdr:row>92</xdr:row>
      <xdr:rowOff>61200</xdr:rowOff>
    </xdr:from>
    <xdr:to>
      <xdr:col>2</xdr:col>
      <xdr:colOff>492120</xdr:colOff>
      <xdr:row>92</xdr:row>
      <xdr:rowOff>172800</xdr:rowOff>
    </xdr:to>
    <xdr:sp>
      <xdr:nvSpPr>
        <xdr:cNvPr id="8" name="Овал 54"/>
        <xdr:cNvSpPr/>
      </xdr:nvSpPr>
      <xdr:spPr>
        <a:xfrm>
          <a:off x="4956840" y="18341280"/>
          <a:ext cx="111600" cy="111600"/>
        </a:xfrm>
        <a:prstGeom prst="ellipse">
          <a:avLst/>
        </a:prstGeom>
        <a:solidFill>
          <a:srgbClr val="4f81bd"/>
        </a:solidFill>
        <a:ln w="0">
          <a:solidFill>
            <a:srgbClr val="3a5f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</xdr:col>
      <xdr:colOff>380520</xdr:colOff>
      <xdr:row>92</xdr:row>
      <xdr:rowOff>61200</xdr:rowOff>
    </xdr:from>
    <xdr:to>
      <xdr:col>3</xdr:col>
      <xdr:colOff>492120</xdr:colOff>
      <xdr:row>92</xdr:row>
      <xdr:rowOff>172800</xdr:rowOff>
    </xdr:to>
    <xdr:sp>
      <xdr:nvSpPr>
        <xdr:cNvPr id="9" name="Овал 55"/>
        <xdr:cNvSpPr/>
      </xdr:nvSpPr>
      <xdr:spPr>
        <a:xfrm>
          <a:off x="5632560" y="18341280"/>
          <a:ext cx="111600" cy="111600"/>
        </a:xfrm>
        <a:prstGeom prst="ellipse">
          <a:avLst/>
        </a:prstGeom>
        <a:solidFill>
          <a:srgbClr val="4f81bd"/>
        </a:solidFill>
        <a:ln w="0">
          <a:solidFill>
            <a:srgbClr val="3a5f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6</xdr:col>
      <xdr:colOff>380520</xdr:colOff>
      <xdr:row>92</xdr:row>
      <xdr:rowOff>61200</xdr:rowOff>
    </xdr:from>
    <xdr:to>
      <xdr:col>6</xdr:col>
      <xdr:colOff>492120</xdr:colOff>
      <xdr:row>92</xdr:row>
      <xdr:rowOff>172800</xdr:rowOff>
    </xdr:to>
    <xdr:sp>
      <xdr:nvSpPr>
        <xdr:cNvPr id="10" name="Овал 56"/>
        <xdr:cNvSpPr/>
      </xdr:nvSpPr>
      <xdr:spPr>
        <a:xfrm>
          <a:off x="7659360" y="18341280"/>
          <a:ext cx="111600" cy="111600"/>
        </a:xfrm>
        <a:prstGeom prst="ellipse">
          <a:avLst/>
        </a:prstGeom>
        <a:solidFill>
          <a:srgbClr val="4f81bd"/>
        </a:solidFill>
        <a:ln w="0">
          <a:solidFill>
            <a:srgbClr val="3a5f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7</xdr:col>
      <xdr:colOff>380520</xdr:colOff>
      <xdr:row>92</xdr:row>
      <xdr:rowOff>61200</xdr:rowOff>
    </xdr:from>
    <xdr:to>
      <xdr:col>7</xdr:col>
      <xdr:colOff>492120</xdr:colOff>
      <xdr:row>92</xdr:row>
      <xdr:rowOff>172800</xdr:rowOff>
    </xdr:to>
    <xdr:sp>
      <xdr:nvSpPr>
        <xdr:cNvPr id="11" name="Овал 57"/>
        <xdr:cNvSpPr/>
      </xdr:nvSpPr>
      <xdr:spPr>
        <a:xfrm>
          <a:off x="8335080" y="18341280"/>
          <a:ext cx="111600" cy="111600"/>
        </a:xfrm>
        <a:prstGeom prst="ellipse">
          <a:avLst/>
        </a:prstGeom>
        <a:solidFill>
          <a:srgbClr val="4f81bd"/>
        </a:solidFill>
        <a:ln w="0">
          <a:solidFill>
            <a:srgbClr val="3a5f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2</xdr:col>
      <xdr:colOff>380520</xdr:colOff>
      <xdr:row>93</xdr:row>
      <xdr:rowOff>61200</xdr:rowOff>
    </xdr:from>
    <xdr:to>
      <xdr:col>2</xdr:col>
      <xdr:colOff>492120</xdr:colOff>
      <xdr:row>93</xdr:row>
      <xdr:rowOff>172800</xdr:rowOff>
    </xdr:to>
    <xdr:sp>
      <xdr:nvSpPr>
        <xdr:cNvPr id="12" name="Овал 58"/>
        <xdr:cNvSpPr/>
      </xdr:nvSpPr>
      <xdr:spPr>
        <a:xfrm>
          <a:off x="4956840" y="18524880"/>
          <a:ext cx="111600" cy="111600"/>
        </a:xfrm>
        <a:prstGeom prst="ellipse">
          <a:avLst/>
        </a:prstGeom>
        <a:solidFill>
          <a:srgbClr val="4f81bd"/>
        </a:solidFill>
        <a:ln w="0">
          <a:solidFill>
            <a:srgbClr val="3a5f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</xdr:col>
      <xdr:colOff>380520</xdr:colOff>
      <xdr:row>93</xdr:row>
      <xdr:rowOff>61200</xdr:rowOff>
    </xdr:from>
    <xdr:to>
      <xdr:col>3</xdr:col>
      <xdr:colOff>492120</xdr:colOff>
      <xdr:row>93</xdr:row>
      <xdr:rowOff>172800</xdr:rowOff>
    </xdr:to>
    <xdr:sp>
      <xdr:nvSpPr>
        <xdr:cNvPr id="13" name="Овал 59"/>
        <xdr:cNvSpPr/>
      </xdr:nvSpPr>
      <xdr:spPr>
        <a:xfrm>
          <a:off x="5632560" y="18524880"/>
          <a:ext cx="111600" cy="111600"/>
        </a:xfrm>
        <a:prstGeom prst="ellipse">
          <a:avLst/>
        </a:prstGeom>
        <a:solidFill>
          <a:srgbClr val="4f81bd"/>
        </a:solidFill>
        <a:ln w="0">
          <a:solidFill>
            <a:srgbClr val="3a5f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2</xdr:col>
      <xdr:colOff>380520</xdr:colOff>
      <xdr:row>94</xdr:row>
      <xdr:rowOff>61200</xdr:rowOff>
    </xdr:from>
    <xdr:to>
      <xdr:col>2</xdr:col>
      <xdr:colOff>492120</xdr:colOff>
      <xdr:row>94</xdr:row>
      <xdr:rowOff>172800</xdr:rowOff>
    </xdr:to>
    <xdr:sp>
      <xdr:nvSpPr>
        <xdr:cNvPr id="14" name="Овал 60"/>
        <xdr:cNvSpPr/>
      </xdr:nvSpPr>
      <xdr:spPr>
        <a:xfrm>
          <a:off x="4956840" y="18708480"/>
          <a:ext cx="111600" cy="111600"/>
        </a:xfrm>
        <a:prstGeom prst="ellipse">
          <a:avLst/>
        </a:prstGeom>
        <a:solidFill>
          <a:srgbClr val="4f81bd"/>
        </a:solidFill>
        <a:ln w="0">
          <a:solidFill>
            <a:srgbClr val="3a5f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2</xdr:col>
      <xdr:colOff>380520</xdr:colOff>
      <xdr:row>95</xdr:row>
      <xdr:rowOff>38520</xdr:rowOff>
    </xdr:from>
    <xdr:to>
      <xdr:col>2</xdr:col>
      <xdr:colOff>492120</xdr:colOff>
      <xdr:row>95</xdr:row>
      <xdr:rowOff>150120</xdr:rowOff>
    </xdr:to>
    <xdr:sp>
      <xdr:nvSpPr>
        <xdr:cNvPr id="15" name="Овал 16"/>
        <xdr:cNvSpPr/>
      </xdr:nvSpPr>
      <xdr:spPr>
        <a:xfrm>
          <a:off x="4956840" y="18869400"/>
          <a:ext cx="111600" cy="111600"/>
        </a:xfrm>
        <a:prstGeom prst="ellipse">
          <a:avLst/>
        </a:prstGeom>
        <a:solidFill>
          <a:srgbClr val="4f81bd"/>
        </a:solidFill>
        <a:ln w="0">
          <a:solidFill>
            <a:srgbClr val="3a5f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2</xdr:col>
      <xdr:colOff>365040</xdr:colOff>
      <xdr:row>96</xdr:row>
      <xdr:rowOff>46080</xdr:rowOff>
    </xdr:from>
    <xdr:to>
      <xdr:col>2</xdr:col>
      <xdr:colOff>476640</xdr:colOff>
      <xdr:row>96</xdr:row>
      <xdr:rowOff>157680</xdr:rowOff>
    </xdr:to>
    <xdr:sp>
      <xdr:nvSpPr>
        <xdr:cNvPr id="16" name="Овал 17"/>
        <xdr:cNvSpPr/>
      </xdr:nvSpPr>
      <xdr:spPr>
        <a:xfrm>
          <a:off x="4941360" y="19060200"/>
          <a:ext cx="111600" cy="111600"/>
        </a:xfrm>
        <a:prstGeom prst="ellipse">
          <a:avLst/>
        </a:prstGeom>
        <a:solidFill>
          <a:srgbClr val="4f81bd"/>
        </a:solidFill>
        <a:ln w="0">
          <a:solidFill>
            <a:srgbClr val="3a5f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2</xdr:col>
      <xdr:colOff>365040</xdr:colOff>
      <xdr:row>97</xdr:row>
      <xdr:rowOff>38520</xdr:rowOff>
    </xdr:from>
    <xdr:to>
      <xdr:col>2</xdr:col>
      <xdr:colOff>476640</xdr:colOff>
      <xdr:row>97</xdr:row>
      <xdr:rowOff>150120</xdr:rowOff>
    </xdr:to>
    <xdr:sp>
      <xdr:nvSpPr>
        <xdr:cNvPr id="17" name="Овал 18"/>
        <xdr:cNvSpPr/>
      </xdr:nvSpPr>
      <xdr:spPr>
        <a:xfrm>
          <a:off x="4941360" y="19252800"/>
          <a:ext cx="111600" cy="111600"/>
        </a:xfrm>
        <a:prstGeom prst="ellipse">
          <a:avLst/>
        </a:prstGeom>
        <a:solidFill>
          <a:srgbClr val="4f81bd"/>
        </a:solidFill>
        <a:ln w="0">
          <a:solidFill>
            <a:srgbClr val="3a5f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4</xdr:col>
      <xdr:colOff>349920</xdr:colOff>
      <xdr:row>95</xdr:row>
      <xdr:rowOff>38520</xdr:rowOff>
    </xdr:from>
    <xdr:to>
      <xdr:col>4</xdr:col>
      <xdr:colOff>461520</xdr:colOff>
      <xdr:row>95</xdr:row>
      <xdr:rowOff>150120</xdr:rowOff>
    </xdr:to>
    <xdr:sp>
      <xdr:nvSpPr>
        <xdr:cNvPr id="18" name="Овал 19"/>
        <xdr:cNvSpPr/>
      </xdr:nvSpPr>
      <xdr:spPr>
        <a:xfrm>
          <a:off x="6277320" y="18869400"/>
          <a:ext cx="111600" cy="111600"/>
        </a:xfrm>
        <a:prstGeom prst="ellipse">
          <a:avLst/>
        </a:prstGeom>
        <a:solidFill>
          <a:srgbClr val="4f81bd"/>
        </a:solidFill>
        <a:ln w="0">
          <a:solidFill>
            <a:srgbClr val="3a5f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5</xdr:col>
      <xdr:colOff>334800</xdr:colOff>
      <xdr:row>96</xdr:row>
      <xdr:rowOff>38520</xdr:rowOff>
    </xdr:from>
    <xdr:to>
      <xdr:col>5</xdr:col>
      <xdr:colOff>446400</xdr:colOff>
      <xdr:row>96</xdr:row>
      <xdr:rowOff>150120</xdr:rowOff>
    </xdr:to>
    <xdr:sp>
      <xdr:nvSpPr>
        <xdr:cNvPr id="19" name="Овал 20"/>
        <xdr:cNvSpPr/>
      </xdr:nvSpPr>
      <xdr:spPr>
        <a:xfrm>
          <a:off x="6937920" y="19052640"/>
          <a:ext cx="111600" cy="111600"/>
        </a:xfrm>
        <a:prstGeom prst="ellipse">
          <a:avLst/>
        </a:prstGeom>
        <a:solidFill>
          <a:srgbClr val="4f81bd"/>
        </a:solidFill>
        <a:ln w="0">
          <a:solidFill>
            <a:srgbClr val="3a5f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6</xdr:col>
      <xdr:colOff>380520</xdr:colOff>
      <xdr:row>97</xdr:row>
      <xdr:rowOff>46080</xdr:rowOff>
    </xdr:from>
    <xdr:to>
      <xdr:col>6</xdr:col>
      <xdr:colOff>492120</xdr:colOff>
      <xdr:row>97</xdr:row>
      <xdr:rowOff>157680</xdr:rowOff>
    </xdr:to>
    <xdr:sp>
      <xdr:nvSpPr>
        <xdr:cNvPr id="20" name="Овал 21"/>
        <xdr:cNvSpPr/>
      </xdr:nvSpPr>
      <xdr:spPr>
        <a:xfrm>
          <a:off x="7659360" y="19260360"/>
          <a:ext cx="111600" cy="111600"/>
        </a:xfrm>
        <a:prstGeom prst="ellipse">
          <a:avLst/>
        </a:prstGeom>
        <a:solidFill>
          <a:srgbClr val="4f81bd"/>
        </a:solidFill>
        <a:ln w="0">
          <a:solidFill>
            <a:srgbClr val="3a5f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7</xdr:col>
      <xdr:colOff>258480</xdr:colOff>
      <xdr:row>97</xdr:row>
      <xdr:rowOff>46080</xdr:rowOff>
    </xdr:from>
    <xdr:to>
      <xdr:col>7</xdr:col>
      <xdr:colOff>370080</xdr:colOff>
      <xdr:row>97</xdr:row>
      <xdr:rowOff>157680</xdr:rowOff>
    </xdr:to>
    <xdr:sp>
      <xdr:nvSpPr>
        <xdr:cNvPr id="21" name="Овал 22"/>
        <xdr:cNvSpPr/>
      </xdr:nvSpPr>
      <xdr:spPr>
        <a:xfrm>
          <a:off x="8213040" y="19260360"/>
          <a:ext cx="111600" cy="111600"/>
        </a:xfrm>
        <a:prstGeom prst="ellipse">
          <a:avLst/>
        </a:prstGeom>
        <a:solidFill>
          <a:srgbClr val="4f81bd"/>
        </a:solidFill>
        <a:ln w="0">
          <a:solidFill>
            <a:srgbClr val="3a5f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7</xdr:col>
      <xdr:colOff>266040</xdr:colOff>
      <xdr:row>96</xdr:row>
      <xdr:rowOff>53640</xdr:rowOff>
    </xdr:from>
    <xdr:to>
      <xdr:col>7</xdr:col>
      <xdr:colOff>377640</xdr:colOff>
      <xdr:row>96</xdr:row>
      <xdr:rowOff>165240</xdr:rowOff>
    </xdr:to>
    <xdr:sp>
      <xdr:nvSpPr>
        <xdr:cNvPr id="22" name="Овал 23"/>
        <xdr:cNvSpPr/>
      </xdr:nvSpPr>
      <xdr:spPr>
        <a:xfrm>
          <a:off x="8220600" y="19067760"/>
          <a:ext cx="111600" cy="111600"/>
        </a:xfrm>
        <a:prstGeom prst="ellipse">
          <a:avLst/>
        </a:prstGeom>
        <a:solidFill>
          <a:srgbClr val="4f81bd"/>
        </a:solidFill>
        <a:ln w="0">
          <a:solidFill>
            <a:srgbClr val="3a5f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7</xdr:col>
      <xdr:colOff>273600</xdr:colOff>
      <xdr:row>95</xdr:row>
      <xdr:rowOff>30960</xdr:rowOff>
    </xdr:from>
    <xdr:to>
      <xdr:col>7</xdr:col>
      <xdr:colOff>385200</xdr:colOff>
      <xdr:row>95</xdr:row>
      <xdr:rowOff>142560</xdr:rowOff>
    </xdr:to>
    <xdr:sp>
      <xdr:nvSpPr>
        <xdr:cNvPr id="23" name="Овал 24"/>
        <xdr:cNvSpPr/>
      </xdr:nvSpPr>
      <xdr:spPr>
        <a:xfrm>
          <a:off x="8228160" y="18861840"/>
          <a:ext cx="111600" cy="111600"/>
        </a:xfrm>
        <a:prstGeom prst="ellipse">
          <a:avLst/>
        </a:prstGeom>
        <a:solidFill>
          <a:srgbClr val="4f81bd"/>
        </a:solidFill>
        <a:ln w="0">
          <a:solidFill>
            <a:srgbClr val="3a5f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5</xdr:col>
      <xdr:colOff>267840</xdr:colOff>
      <xdr:row>108</xdr:row>
      <xdr:rowOff>47160</xdr:rowOff>
    </xdr:from>
    <xdr:to>
      <xdr:col>5</xdr:col>
      <xdr:colOff>511920</xdr:colOff>
      <xdr:row>113</xdr:row>
      <xdr:rowOff>138960</xdr:rowOff>
    </xdr:to>
    <xdr:sp>
      <xdr:nvSpPr>
        <xdr:cNvPr id="24" name="Правая фигурная скобка 1"/>
        <xdr:cNvSpPr/>
      </xdr:nvSpPr>
      <xdr:spPr>
        <a:xfrm>
          <a:off x="6870960" y="21403440"/>
          <a:ext cx="244080" cy="1009080"/>
        </a:xfrm>
        <a:prstGeom prst="rightBrace">
          <a:avLst>
            <a:gd name="adj1" fmla="val 8333"/>
            <a:gd name="adj2" fmla="val 46891"/>
          </a:avLst>
        </a:prstGeom>
        <a:noFill/>
        <a:ln w="0">
          <a:solidFill>
            <a:srgbClr val="4a7eb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7</xdr:col>
      <xdr:colOff>296280</xdr:colOff>
      <xdr:row>93</xdr:row>
      <xdr:rowOff>45720</xdr:rowOff>
    </xdr:from>
    <xdr:to>
      <xdr:col>7</xdr:col>
      <xdr:colOff>407880</xdr:colOff>
      <xdr:row>93</xdr:row>
      <xdr:rowOff>157320</xdr:rowOff>
    </xdr:to>
    <xdr:sp>
      <xdr:nvSpPr>
        <xdr:cNvPr id="25" name="Овал 26"/>
        <xdr:cNvSpPr/>
      </xdr:nvSpPr>
      <xdr:spPr>
        <a:xfrm>
          <a:off x="8250840" y="18509400"/>
          <a:ext cx="111600" cy="111600"/>
        </a:xfrm>
        <a:prstGeom prst="ellipse">
          <a:avLst/>
        </a:prstGeom>
        <a:solidFill>
          <a:srgbClr val="4f81bd"/>
        </a:solidFill>
        <a:ln w="0">
          <a:solidFill>
            <a:srgbClr val="3a5f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hyperlink" Target="http://www.cztt.ru/" TargetMode="External"/><Relationship Id="rId2" Type="http://schemas.openxmlformats.org/officeDocument/2006/relationships/hyperlink" Target="mailto:bez100@yandex.ru" TargetMode="Externa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hyperlink" Target="http://www.cztt.ru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U47"/>
  <sheetViews>
    <sheetView showFormulas="false" showGridLines="true" showRowColHeaders="true" showZeros="true" rightToLeft="false" tabSelected="true" showOutlineSymbols="true" defaultGridColor="true" view="normal" topLeftCell="B1" colorId="64" zoomScale="80" zoomScaleNormal="80" zoomScalePageLayoutView="95" workbookViewId="0">
      <selection pane="topLeft" activeCell="C31" activeCellId="0" sqref="C31"/>
    </sheetView>
  </sheetViews>
  <sheetFormatPr defaultColWidth="9.15625" defaultRowHeight="15" zeroHeight="false" outlineLevelRow="0" outlineLevelCol="0"/>
  <cols>
    <col collapsed="false" customWidth="true" hidden="true" outlineLevel="0" max="1" min="1" style="1" width="6.15"/>
    <col collapsed="false" customWidth="true" hidden="false" outlineLevel="0" max="2" min="2" style="2" width="56.43"/>
    <col collapsed="false" customWidth="true" hidden="false" outlineLevel="0" max="10" min="3" style="3" width="3.57"/>
    <col collapsed="false" customWidth="true" hidden="false" outlineLevel="0" max="11" min="11" style="3" width="5.14"/>
    <col collapsed="false" customWidth="true" hidden="false" outlineLevel="0" max="13" min="12" style="2" width="5.14"/>
    <col collapsed="false" customWidth="true" hidden="false" outlineLevel="0" max="14" min="14" style="2" width="9.29"/>
    <col collapsed="false" customWidth="true" hidden="false" outlineLevel="0" max="15" min="15" style="2" width="7.15"/>
    <col collapsed="false" customWidth="true" hidden="false" outlineLevel="0" max="21" min="16" style="2" width="5.14"/>
    <col collapsed="false" customWidth="false" hidden="false" outlineLevel="0" max="1024" min="22" style="1" width="9.14"/>
  </cols>
  <sheetData>
    <row r="1" customFormat="false" ht="15.75" hidden="false" customHeight="false" outlineLevel="0" collapsed="false">
      <c r="B1" s="4" t="s">
        <v>0</v>
      </c>
      <c r="C1" s="5" t="s">
        <v>1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customFormat="false" ht="15.75" hidden="false" customHeight="false" outlineLevel="0" collapsed="false">
      <c r="B2" s="6" t="s">
        <v>2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customFormat="false" ht="15.75" hidden="false" customHeight="false" outlineLevel="0" collapsed="false">
      <c r="B3" s="6" t="s">
        <v>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customFormat="false" ht="15.75" hidden="false" customHeight="false" outlineLevel="0" collapsed="false">
      <c r="B4" s="6" t="s">
        <v>4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customFormat="false" ht="15.75" hidden="false" customHeight="false" outlineLevel="0" collapsed="false">
      <c r="B5" s="10"/>
      <c r="C5" s="11"/>
      <c r="D5" s="12"/>
      <c r="E5" s="12"/>
      <c r="F5" s="12"/>
      <c r="G5" s="12"/>
      <c r="H5" s="12"/>
      <c r="I5" s="12"/>
      <c r="J5" s="12"/>
      <c r="K5" s="12"/>
      <c r="L5" s="13"/>
      <c r="M5" s="14"/>
      <c r="N5" s="14"/>
      <c r="O5" s="14"/>
      <c r="P5" s="14"/>
      <c r="Q5" s="14"/>
      <c r="R5" s="14"/>
      <c r="S5" s="14"/>
      <c r="T5" s="14"/>
      <c r="U5" s="15"/>
    </row>
    <row r="6" customFormat="false" ht="20.25" hidden="false" customHeight="false" outlineLevel="0" collapsed="false">
      <c r="B6" s="16" t="s">
        <v>5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customFormat="false" ht="15.75" hidden="false" customHeight="false" outlineLevel="0" collapsed="false">
      <c r="B7" s="17" t="s">
        <v>6</v>
      </c>
      <c r="C7" s="18" t="s">
        <v>7</v>
      </c>
      <c r="D7" s="18"/>
      <c r="E7" s="18"/>
      <c r="F7" s="18"/>
      <c r="G7" s="18"/>
      <c r="H7" s="18"/>
      <c r="I7" s="18"/>
      <c r="J7" s="18"/>
      <c r="K7" s="19"/>
      <c r="L7" s="20"/>
      <c r="M7" s="21"/>
      <c r="N7" s="22" t="s">
        <v>8</v>
      </c>
      <c r="O7" s="22" t="s">
        <v>9</v>
      </c>
      <c r="P7" s="21"/>
      <c r="Q7" s="21"/>
      <c r="R7" s="21"/>
      <c r="S7" s="21"/>
      <c r="T7" s="14"/>
      <c r="U7" s="15"/>
    </row>
    <row r="8" customFormat="false" ht="15.75" hidden="false" customHeight="false" outlineLevel="0" collapsed="false">
      <c r="B8" s="17" t="s">
        <v>10</v>
      </c>
      <c r="C8" s="18" t="s">
        <v>11</v>
      </c>
      <c r="D8" s="18"/>
      <c r="E8" s="18"/>
      <c r="F8" s="18"/>
      <c r="G8" s="18"/>
      <c r="H8" s="18"/>
      <c r="I8" s="18"/>
      <c r="J8" s="18"/>
      <c r="K8" s="19"/>
      <c r="L8" s="23" t="n">
        <f aca="false">IF(C8="3ТТ и 3ТН",33,IF(C8="2ТТ и 3ТН",23,IF(C8="2ТТ и 2ТН",22,"")))</f>
        <v>33</v>
      </c>
      <c r="M8" s="14"/>
      <c r="N8" s="24" t="n">
        <f aca="false">IF(C8="3ТТ и 3ТН",3,IF(C8="3ТТ и 2ТН",3,IF(C8="2ТТ и 3ТН",2,IF(C8="2ТТ и 2ТН",2,""))))</f>
        <v>3</v>
      </c>
      <c r="O8" s="24" t="n">
        <f aca="false">IF(C8="3ТТ и 3ТН",3,IF(C8="3ТТ и 2ТН",2,IF(C8="2ТТ и 3ТН",3,IF(C8="2ТТ и 2ТН",2,""))))</f>
        <v>3</v>
      </c>
      <c r="P8" s="14"/>
      <c r="Q8" s="25" t="s">
        <v>12</v>
      </c>
      <c r="R8" s="26" t="str">
        <f aca="false">LEFT(C8,1)</f>
        <v>3</v>
      </c>
      <c r="S8" s="25" t="s">
        <v>13</v>
      </c>
      <c r="T8" s="26" t="str">
        <f aca="false">LEFT(RIGHT(C8,3),1)</f>
        <v>3</v>
      </c>
      <c r="U8" s="26"/>
    </row>
    <row r="9" customFormat="false" ht="15.75" hidden="false" customHeight="false" outlineLevel="0" collapsed="false">
      <c r="B9" s="27" t="s">
        <v>14</v>
      </c>
      <c r="C9" s="18" t="s">
        <v>15</v>
      </c>
      <c r="D9" s="18"/>
      <c r="E9" s="18"/>
      <c r="F9" s="18"/>
      <c r="G9" s="18"/>
      <c r="H9" s="18"/>
      <c r="I9" s="18"/>
      <c r="J9" s="18"/>
      <c r="K9" s="28"/>
      <c r="M9" s="29"/>
      <c r="N9" s="30" t="str">
        <f aca="false">IF(C9="Нет","","Тип опоры: ")</f>
        <v>Тип опоры: </v>
      </c>
      <c r="O9" s="31" t="s">
        <v>16</v>
      </c>
      <c r="P9" s="31"/>
      <c r="Q9" s="31"/>
      <c r="R9" s="29"/>
      <c r="S9" s="32"/>
      <c r="T9" s="32"/>
      <c r="U9" s="32"/>
    </row>
    <row r="10" s="1" customFormat="true" ht="15.75" hidden="false" customHeight="false" outlineLevel="0" collapsed="false">
      <c r="B10" s="33" t="s">
        <v>17</v>
      </c>
      <c r="C10" s="34" t="s">
        <v>15</v>
      </c>
      <c r="D10" s="34"/>
      <c r="E10" s="34"/>
      <c r="F10" s="34"/>
      <c r="G10" s="34"/>
      <c r="H10" s="34"/>
      <c r="I10" s="34"/>
      <c r="J10" s="34"/>
      <c r="K10" s="28"/>
      <c r="N10" s="35" t="n">
        <f aca="false">N8</f>
        <v>3</v>
      </c>
      <c r="O10" s="35" t="n">
        <f aca="false">O8</f>
        <v>3</v>
      </c>
      <c r="R10" s="14"/>
      <c r="S10" s="14"/>
      <c r="T10" s="14"/>
      <c r="U10" s="15"/>
    </row>
    <row r="11" customFormat="false" ht="16.5" hidden="false" customHeight="true" outlineLevel="0" collapsed="false">
      <c r="C11" s="36"/>
      <c r="D11" s="36"/>
      <c r="E11" s="36"/>
      <c r="F11" s="36"/>
      <c r="G11" s="36"/>
      <c r="H11" s="36"/>
      <c r="I11" s="36"/>
      <c r="J11" s="36"/>
      <c r="K11" s="37"/>
      <c r="L11" s="38"/>
      <c r="M11" s="39"/>
      <c r="N11" s="39"/>
      <c r="O11" s="39"/>
      <c r="P11" s="39"/>
      <c r="Q11" s="39"/>
      <c r="R11" s="39"/>
      <c r="S11" s="39"/>
      <c r="T11" s="39"/>
      <c r="U11" s="39"/>
    </row>
    <row r="12" customFormat="false" ht="15" hidden="false" customHeight="false" outlineLevel="0" collapsed="false">
      <c r="B12" s="40" t="s">
        <v>18</v>
      </c>
      <c r="K12" s="41"/>
      <c r="L12" s="42"/>
      <c r="M12" s="14"/>
      <c r="N12" s="14"/>
      <c r="O12" s="14"/>
      <c r="P12" s="14"/>
      <c r="Q12" s="14"/>
      <c r="R12" s="14"/>
      <c r="S12" s="14"/>
      <c r="T12" s="14"/>
      <c r="U12" s="15"/>
    </row>
    <row r="13" customFormat="false" ht="15.75" hidden="false" customHeight="false" outlineLevel="0" collapsed="false">
      <c r="B13" s="43" t="s">
        <v>19</v>
      </c>
      <c r="C13" s="18" t="s">
        <v>20</v>
      </c>
      <c r="D13" s="18"/>
      <c r="E13" s="18"/>
      <c r="F13" s="18"/>
      <c r="G13" s="18"/>
      <c r="H13" s="18"/>
      <c r="I13" s="18"/>
      <c r="J13" s="18"/>
      <c r="K13" s="41"/>
      <c r="L13" s="42" t="str">
        <f aca="false">IF(C13="ЗНОЛП_10", IF(O8=2,"Не верное количество ТН", ""), "")</f>
        <v/>
      </c>
      <c r="M13" s="14"/>
      <c r="N13" s="14"/>
      <c r="O13" s="14"/>
      <c r="P13" s="14"/>
      <c r="Q13" s="14"/>
      <c r="R13" s="14"/>
      <c r="S13" s="14"/>
      <c r="T13" s="14"/>
      <c r="U13" s="15"/>
    </row>
    <row r="14" customFormat="false" ht="15.75" hidden="false" customHeight="false" outlineLevel="0" collapsed="false">
      <c r="B14" s="43" t="s">
        <v>21</v>
      </c>
      <c r="C14" s="18" t="n">
        <v>6.3</v>
      </c>
      <c r="D14" s="18"/>
      <c r="E14" s="18"/>
      <c r="F14" s="18"/>
      <c r="G14" s="18"/>
      <c r="H14" s="18"/>
      <c r="I14" s="18"/>
      <c r="J14" s="18"/>
      <c r="K14" s="44" t="str">
        <f aca="true">IFERROR(IF(MATCH(C14,INDIRECT($C$13),0)&gt;0," "," "),"О")</f>
        <v> </v>
      </c>
      <c r="L14" s="42"/>
      <c r="M14" s="14"/>
      <c r="N14" s="14"/>
      <c r="O14" s="14"/>
      <c r="P14" s="14"/>
      <c r="Q14" s="14"/>
      <c r="R14" s="14"/>
      <c r="S14" s="14"/>
      <c r="T14" s="14"/>
      <c r="U14" s="15"/>
    </row>
    <row r="15" customFormat="false" ht="15.75" hidden="false" customHeight="false" outlineLevel="0" collapsed="false">
      <c r="B15" s="43" t="s">
        <v>22</v>
      </c>
      <c r="C15" s="18" t="n">
        <v>0.5</v>
      </c>
      <c r="D15" s="18"/>
      <c r="E15" s="18"/>
      <c r="F15" s="18"/>
      <c r="G15" s="18"/>
      <c r="H15" s="18"/>
      <c r="I15" s="18"/>
      <c r="J15" s="18"/>
      <c r="K15" s="41"/>
      <c r="L15" s="42"/>
      <c r="M15" s="14"/>
      <c r="N15" s="14"/>
      <c r="O15" s="14"/>
      <c r="P15" s="14"/>
      <c r="Q15" s="14"/>
      <c r="R15" s="14"/>
      <c r="S15" s="14"/>
      <c r="T15" s="14"/>
      <c r="U15" s="15"/>
    </row>
    <row r="16" customFormat="false" ht="16.5" hidden="false" customHeight="true" outlineLevel="0" collapsed="false">
      <c r="B16" s="45"/>
      <c r="C16" s="36"/>
      <c r="D16" s="36"/>
      <c r="E16" s="36"/>
      <c r="F16" s="36"/>
      <c r="G16" s="36"/>
      <c r="H16" s="36"/>
      <c r="I16" s="36"/>
      <c r="J16" s="36"/>
      <c r="K16" s="37"/>
      <c r="L16" s="38"/>
      <c r="M16" s="39"/>
      <c r="N16" s="39"/>
      <c r="O16" s="39"/>
      <c r="P16" s="39"/>
      <c r="Q16" s="39"/>
      <c r="R16" s="39"/>
      <c r="S16" s="39"/>
      <c r="T16" s="39"/>
      <c r="U16" s="39"/>
    </row>
    <row r="17" customFormat="false" ht="15" hidden="false" customHeight="false" outlineLevel="0" collapsed="false">
      <c r="B17" s="40" t="s">
        <v>23</v>
      </c>
      <c r="C17" s="46"/>
      <c r="D17" s="46"/>
      <c r="E17" s="46"/>
      <c r="F17" s="46"/>
      <c r="G17" s="46"/>
      <c r="H17" s="46"/>
      <c r="I17" s="46"/>
      <c r="J17" s="46"/>
      <c r="K17" s="41"/>
      <c r="L17" s="42"/>
      <c r="M17" s="14"/>
      <c r="N17" s="14"/>
      <c r="O17" s="14"/>
      <c r="P17" s="14"/>
      <c r="Q17" s="14"/>
      <c r="R17" s="14"/>
      <c r="S17" s="14"/>
      <c r="T17" s="14"/>
      <c r="U17" s="15"/>
    </row>
    <row r="18" customFormat="false" ht="15.75" hidden="false" customHeight="false" outlineLevel="0" collapsed="false">
      <c r="B18" s="43" t="s">
        <v>24</v>
      </c>
      <c r="C18" s="18" t="n">
        <v>200</v>
      </c>
      <c r="D18" s="18"/>
      <c r="E18" s="18"/>
      <c r="F18" s="18"/>
      <c r="G18" s="18"/>
      <c r="H18" s="18"/>
      <c r="I18" s="18"/>
      <c r="J18" s="18"/>
      <c r="K18" s="41"/>
      <c r="M18" s="14"/>
      <c r="N18" s="30" t="str">
        <f aca="false">IF(C18="Другой","Значение: ","")</f>
        <v/>
      </c>
      <c r="O18" s="31"/>
      <c r="P18" s="31"/>
      <c r="Q18" s="31"/>
      <c r="R18" s="29"/>
      <c r="S18" s="47"/>
      <c r="T18" s="47"/>
      <c r="U18" s="47"/>
    </row>
    <row r="19" customFormat="false" ht="15.75" hidden="false" customHeight="false" outlineLevel="0" collapsed="false">
      <c r="B19" s="43" t="s">
        <v>22</v>
      </c>
      <c r="C19" s="18" t="s">
        <v>25</v>
      </c>
      <c r="D19" s="18"/>
      <c r="E19" s="18"/>
      <c r="F19" s="18"/>
      <c r="G19" s="18"/>
      <c r="H19" s="18"/>
      <c r="I19" s="18"/>
      <c r="J19" s="18"/>
      <c r="K19" s="19"/>
      <c r="L19" s="48" t="s">
        <v>26</v>
      </c>
      <c r="M19" s="48"/>
      <c r="N19" s="48"/>
      <c r="O19" s="48"/>
      <c r="P19" s="48"/>
      <c r="Q19" s="48"/>
      <c r="R19" s="48"/>
      <c r="S19" s="48"/>
      <c r="T19" s="29"/>
      <c r="U19" s="49"/>
    </row>
    <row r="20" customFormat="false" ht="16.5" hidden="false" customHeight="true" outlineLevel="0" collapsed="false">
      <c r="B20" s="45"/>
      <c r="C20" s="36"/>
      <c r="D20" s="36"/>
      <c r="E20" s="36"/>
      <c r="F20" s="36"/>
      <c r="G20" s="36"/>
      <c r="H20" s="36"/>
      <c r="I20" s="36"/>
      <c r="J20" s="36"/>
      <c r="K20" s="37"/>
      <c r="L20" s="38"/>
      <c r="M20" s="39"/>
      <c r="N20" s="39"/>
      <c r="O20" s="39"/>
      <c r="P20" s="39"/>
      <c r="Q20" s="39"/>
      <c r="R20" s="39"/>
      <c r="S20" s="39"/>
      <c r="T20" s="39"/>
      <c r="U20" s="39"/>
    </row>
    <row r="21" customFormat="false" ht="15.75" hidden="false" customHeight="false" outlineLevel="0" collapsed="false">
      <c r="B21" s="50" t="s">
        <v>27</v>
      </c>
      <c r="C21" s="51" t="s">
        <v>28</v>
      </c>
      <c r="D21" s="51"/>
      <c r="E21" s="51"/>
      <c r="F21" s="51"/>
      <c r="G21" s="51"/>
      <c r="H21" s="51"/>
      <c r="I21" s="51"/>
      <c r="J21" s="51"/>
      <c r="K21" s="19"/>
      <c r="L21" s="42"/>
      <c r="M21" s="14"/>
      <c r="N21" s="52" t="str">
        <f aca="false">IF(C21="Другой","Тип: ","")</f>
        <v/>
      </c>
      <c r="O21" s="53"/>
      <c r="P21" s="53"/>
      <c r="Q21" s="53"/>
      <c r="R21" s="14"/>
      <c r="S21" s="14"/>
      <c r="T21" s="14"/>
      <c r="U21" s="15"/>
    </row>
    <row r="22" customFormat="false" ht="15.75" hidden="false" customHeight="false" outlineLevel="0" collapsed="false">
      <c r="B22" s="43" t="s">
        <v>29</v>
      </c>
      <c r="C22" s="18" t="s">
        <v>28</v>
      </c>
      <c r="D22" s="18"/>
      <c r="E22" s="18"/>
      <c r="F22" s="18"/>
      <c r="G22" s="18"/>
      <c r="H22" s="18"/>
      <c r="I22" s="18"/>
      <c r="J22" s="18"/>
      <c r="K22" s="19"/>
      <c r="L22" s="42"/>
      <c r="M22" s="29"/>
      <c r="N22" s="29"/>
      <c r="O22" s="14"/>
      <c r="P22" s="14"/>
      <c r="Q22" s="14"/>
      <c r="R22" s="14"/>
      <c r="S22" s="14"/>
      <c r="T22" s="14"/>
      <c r="U22" s="15"/>
    </row>
    <row r="23" customFormat="false" ht="16.5" hidden="false" customHeight="true" outlineLevel="0" collapsed="false">
      <c r="B23" s="45"/>
      <c r="C23" s="36"/>
      <c r="D23" s="36"/>
      <c r="E23" s="36"/>
      <c r="F23" s="36" t="s">
        <v>30</v>
      </c>
      <c r="G23" s="36"/>
      <c r="H23" s="36"/>
      <c r="I23" s="36"/>
      <c r="J23" s="36"/>
      <c r="K23" s="37"/>
      <c r="L23" s="38"/>
      <c r="M23" s="39"/>
      <c r="N23" s="39"/>
      <c r="O23" s="39"/>
      <c r="P23" s="39"/>
      <c r="Q23" s="39"/>
      <c r="R23" s="39"/>
      <c r="S23" s="39"/>
      <c r="T23" s="54"/>
      <c r="U23" s="39"/>
    </row>
    <row r="24" customFormat="false" ht="15.75" hidden="false" customHeight="false" outlineLevel="0" collapsed="false">
      <c r="B24" s="40" t="s">
        <v>31</v>
      </c>
      <c r="C24" s="18" t="s">
        <v>32</v>
      </c>
      <c r="D24" s="18"/>
      <c r="E24" s="18"/>
      <c r="F24" s="18"/>
      <c r="G24" s="18"/>
      <c r="H24" s="18"/>
      <c r="I24" s="18"/>
      <c r="J24" s="18"/>
      <c r="K24" s="55" t="str">
        <f aca="false">IF(C24="Другой","(см. примечание)"," ")</f>
        <v> </v>
      </c>
      <c r="L24" s="56"/>
      <c r="M24" s="54"/>
      <c r="P24" s="30" t="str">
        <f aca="false">IF(C24="Нет","","Комплектов:")</f>
        <v>Комплектов:</v>
      </c>
      <c r="Q24" s="57" t="n">
        <v>1</v>
      </c>
      <c r="R24" s="57"/>
      <c r="S24" s="57"/>
      <c r="T24" s="26" t="n">
        <f aca="false">IF(Q24=0,1,Q24)</f>
        <v>1</v>
      </c>
      <c r="U24" s="15"/>
    </row>
    <row r="25" customFormat="false" ht="15.75" hidden="false" customHeight="false" outlineLevel="0" collapsed="false">
      <c r="B25" s="43" t="s">
        <v>29</v>
      </c>
      <c r="C25" s="18" t="s">
        <v>15</v>
      </c>
      <c r="D25" s="18"/>
      <c r="E25" s="18"/>
      <c r="F25" s="18"/>
      <c r="G25" s="18"/>
      <c r="H25" s="18"/>
      <c r="I25" s="18"/>
      <c r="J25" s="18"/>
      <c r="K25" s="19"/>
      <c r="L25" s="42"/>
      <c r="M25" s="29"/>
      <c r="N25" s="29"/>
      <c r="O25" s="14"/>
      <c r="P25" s="14"/>
      <c r="Q25" s="14"/>
      <c r="R25" s="14"/>
      <c r="S25" s="14"/>
      <c r="T25" s="14"/>
      <c r="U25" s="15"/>
    </row>
    <row r="26" customFormat="false" ht="16.5" hidden="false" customHeight="true" outlineLevel="0" collapsed="false">
      <c r="B26" s="45"/>
      <c r="C26" s="36"/>
      <c r="D26" s="36"/>
      <c r="E26" s="36"/>
      <c r="F26" s="36"/>
      <c r="G26" s="36"/>
      <c r="H26" s="36"/>
      <c r="I26" s="36"/>
      <c r="J26" s="36"/>
      <c r="K26" s="37"/>
      <c r="L26" s="38"/>
      <c r="M26" s="39"/>
      <c r="N26" s="39"/>
      <c r="O26" s="39"/>
      <c r="P26" s="39"/>
      <c r="Q26" s="39"/>
      <c r="R26" s="39"/>
      <c r="S26" s="39"/>
      <c r="T26" s="39"/>
      <c r="U26" s="39"/>
    </row>
    <row r="27" customFormat="false" ht="15.75" hidden="false" customHeight="false" outlineLevel="0" collapsed="false">
      <c r="B27" s="50" t="s">
        <v>33</v>
      </c>
      <c r="C27" s="51"/>
      <c r="D27" s="51"/>
      <c r="E27" s="51"/>
      <c r="F27" s="51"/>
      <c r="G27" s="51"/>
      <c r="H27" s="51"/>
      <c r="I27" s="51"/>
      <c r="J27" s="51"/>
      <c r="K27" s="19"/>
      <c r="L27" s="42"/>
      <c r="M27" s="14"/>
      <c r="N27" s="14"/>
      <c r="O27" s="14"/>
      <c r="P27" s="14"/>
      <c r="Q27" s="14"/>
      <c r="R27" s="14"/>
      <c r="S27" s="14"/>
      <c r="T27" s="14"/>
      <c r="U27" s="15"/>
    </row>
    <row r="28" customFormat="false" ht="15" hidden="false" customHeight="false" outlineLevel="0" collapsed="false">
      <c r="B28" s="58" t="s">
        <v>34</v>
      </c>
      <c r="C28" s="59" t="s">
        <v>35</v>
      </c>
      <c r="D28" s="59"/>
      <c r="E28" s="59"/>
      <c r="F28" s="59"/>
      <c r="G28" s="59"/>
      <c r="H28" s="59"/>
      <c r="I28" s="59"/>
      <c r="J28" s="59"/>
      <c r="K28" s="55" t="str">
        <f aca="false">IF(C28="Другой","(см. примечание)"," ")</f>
        <v> </v>
      </c>
      <c r="L28" s="29"/>
      <c r="M28" s="29"/>
      <c r="N28" s="29"/>
      <c r="O28" s="29"/>
      <c r="P28" s="29"/>
      <c r="Q28" s="29"/>
      <c r="R28" s="29"/>
      <c r="S28" s="29"/>
      <c r="T28" s="14"/>
      <c r="U28" s="15"/>
    </row>
    <row r="29" customFormat="false" ht="15.75" hidden="false" customHeight="false" outlineLevel="0" collapsed="false">
      <c r="B29" s="58" t="s">
        <v>36</v>
      </c>
      <c r="C29" s="18" t="s">
        <v>15</v>
      </c>
      <c r="D29" s="18"/>
      <c r="E29" s="18"/>
      <c r="F29" s="18"/>
      <c r="G29" s="18"/>
      <c r="H29" s="18"/>
      <c r="I29" s="18"/>
      <c r="J29" s="18"/>
      <c r="K29" s="28"/>
      <c r="L29" s="29"/>
      <c r="M29" s="29"/>
      <c r="N29" s="29"/>
      <c r="O29" s="29"/>
      <c r="P29" s="29"/>
      <c r="Q29" s="29"/>
      <c r="R29" s="29"/>
      <c r="S29" s="29"/>
      <c r="T29" s="14"/>
      <c r="U29" s="15"/>
    </row>
    <row r="30" customFormat="false" ht="15" hidden="false" customHeight="false" outlineLevel="0" collapsed="false">
      <c r="B30" s="58" t="s">
        <v>37</v>
      </c>
      <c r="C30" s="59" t="s">
        <v>38</v>
      </c>
      <c r="D30" s="59"/>
      <c r="E30" s="59"/>
      <c r="F30" s="59"/>
      <c r="G30" s="59"/>
      <c r="H30" s="59"/>
      <c r="I30" s="59"/>
      <c r="J30" s="59"/>
      <c r="K30" s="60" t="n">
        <f aca="false">IF(OR(C32="Нет",C32="GSM C-1.02",C32="GSM TELEOFIS RX108-R4",C32="Другой",C32=""),1,IF(AND(OR(LEFT(C31,3)="СЭТ",RIGHT(C31,3)="01*",RIGHT(C31,3)="В.G"),C32="Встроен в счетчик"),1,0))</f>
        <v>0</v>
      </c>
      <c r="L30" s="61"/>
      <c r="M30" s="61"/>
      <c r="N30" s="61"/>
      <c r="O30" s="61"/>
      <c r="P30" s="61"/>
      <c r="Q30" s="61"/>
      <c r="R30" s="61"/>
      <c r="S30" s="61"/>
      <c r="T30" s="61"/>
      <c r="U30" s="15"/>
    </row>
    <row r="31" customFormat="false" ht="15.75" hidden="false" customHeight="false" outlineLevel="0" collapsed="false">
      <c r="B31" s="62" t="s">
        <v>39</v>
      </c>
      <c r="C31" s="51" t="s">
        <v>40</v>
      </c>
      <c r="D31" s="51"/>
      <c r="E31" s="51"/>
      <c r="F31" s="51"/>
      <c r="G31" s="51"/>
      <c r="H31" s="51"/>
      <c r="I31" s="51"/>
      <c r="J31" s="51"/>
      <c r="K31" s="60" t="str">
        <f aca="false">LEFT(C31,2)</f>
        <v>Ми</v>
      </c>
      <c r="L31" s="52" t="str">
        <f aca="false">IF(C31="Другой","Тип: ","")</f>
        <v/>
      </c>
      <c r="M31" s="63"/>
      <c r="N31" s="63"/>
      <c r="O31" s="63"/>
      <c r="P31" s="63"/>
      <c r="Q31" s="63"/>
      <c r="R31" s="63"/>
      <c r="S31" s="63"/>
      <c r="T31" s="63"/>
      <c r="U31" s="15"/>
    </row>
    <row r="32" customFormat="false" ht="15" hidden="false" customHeight="false" outlineLevel="0" collapsed="false">
      <c r="B32" s="64" t="s">
        <v>41</v>
      </c>
      <c r="C32" s="65" t="s">
        <v>42</v>
      </c>
      <c r="D32" s="65"/>
      <c r="E32" s="65"/>
      <c r="F32" s="65"/>
      <c r="G32" s="65"/>
      <c r="H32" s="65"/>
      <c r="I32" s="65"/>
      <c r="J32" s="65"/>
      <c r="K32" s="66" t="n">
        <f aca="false">IF(C32&lt;&gt;"Встроен в счетчик",1,IF(AND(OR(LEFT(C31,3)="СЭТ",RIGHT(C31,3)="01*",RIGHT(C31,3)="В.G"),C32="Встроен в счетчик"),1,0))</f>
        <v>0</v>
      </c>
      <c r="L32" s="67"/>
      <c r="M32" s="68" t="str">
        <f aca="false">IF(C32="Другой","Тип:"," ")</f>
        <v> </v>
      </c>
      <c r="N32" s="69"/>
      <c r="O32" s="69"/>
      <c r="P32" s="69"/>
      <c r="Q32" s="69"/>
      <c r="R32" s="70"/>
      <c r="S32" s="70"/>
      <c r="T32" s="14"/>
      <c r="U32" s="15"/>
    </row>
    <row r="33" customFormat="false" ht="30" hidden="false" customHeight="false" outlineLevel="0" collapsed="false">
      <c r="B33" s="71" t="s">
        <v>43</v>
      </c>
      <c r="C33" s="18" t="s">
        <v>15</v>
      </c>
      <c r="D33" s="18"/>
      <c r="E33" s="18"/>
      <c r="F33" s="18"/>
      <c r="G33" s="18"/>
      <c r="H33" s="18"/>
      <c r="I33" s="18"/>
      <c r="J33" s="18"/>
      <c r="K33" s="28"/>
      <c r="N33" s="30" t="str">
        <f aca="false">IF(C33="Нет","","метров: ")</f>
        <v>метров: </v>
      </c>
      <c r="O33" s="31" t="n">
        <v>8</v>
      </c>
      <c r="P33" s="31"/>
      <c r="Q33" s="31"/>
      <c r="T33" s="14"/>
      <c r="U33" s="15"/>
    </row>
    <row r="34" customFormat="false" ht="15.75" hidden="false" customHeight="false" outlineLevel="0" collapsed="false">
      <c r="B34" s="64" t="s">
        <v>44</v>
      </c>
      <c r="C34" s="18" t="s">
        <v>28</v>
      </c>
      <c r="D34" s="18"/>
      <c r="E34" s="18"/>
      <c r="F34" s="18"/>
      <c r="G34" s="18"/>
      <c r="H34" s="18"/>
      <c r="I34" s="18"/>
      <c r="J34" s="18"/>
      <c r="K34" s="28"/>
      <c r="P34" s="72" t="n">
        <v>1</v>
      </c>
      <c r="T34" s="14"/>
      <c r="U34" s="15"/>
    </row>
    <row r="35" customFormat="false" ht="15.75" hidden="false" customHeight="false" outlineLevel="0" collapsed="false">
      <c r="B35" s="64" t="s">
        <v>45</v>
      </c>
      <c r="C35" s="18" t="s">
        <v>28</v>
      </c>
      <c r="D35" s="18"/>
      <c r="E35" s="18"/>
      <c r="F35" s="18"/>
      <c r="G35" s="18"/>
      <c r="H35" s="18"/>
      <c r="I35" s="18"/>
      <c r="J35" s="18"/>
      <c r="K35" s="28"/>
      <c r="P35" s="72" t="n">
        <v>2</v>
      </c>
      <c r="T35" s="14"/>
      <c r="U35" s="15"/>
    </row>
    <row r="36" customFormat="false" ht="15.75" hidden="false" customHeight="false" outlineLevel="0" collapsed="false">
      <c r="B36" s="64" t="s">
        <v>46</v>
      </c>
      <c r="C36" s="18" t="s">
        <v>28</v>
      </c>
      <c r="D36" s="18"/>
      <c r="E36" s="18"/>
      <c r="F36" s="18"/>
      <c r="G36" s="18"/>
      <c r="H36" s="18"/>
      <c r="I36" s="18"/>
      <c r="J36" s="18"/>
      <c r="K36" s="28"/>
      <c r="P36" s="72" t="n">
        <v>3</v>
      </c>
      <c r="T36" s="14"/>
      <c r="U36" s="15"/>
    </row>
    <row r="37" customFormat="false" ht="15.75" hidden="false" customHeight="false" outlineLevel="0" collapsed="false">
      <c r="B37" s="64"/>
      <c r="C37" s="18"/>
      <c r="D37" s="18"/>
      <c r="E37" s="18"/>
      <c r="F37" s="18"/>
      <c r="G37" s="18"/>
      <c r="H37" s="18"/>
      <c r="I37" s="18"/>
      <c r="J37" s="18"/>
      <c r="K37" s="28"/>
      <c r="T37" s="14"/>
      <c r="U37" s="15"/>
    </row>
    <row r="38" customFormat="false" ht="15" hidden="false" customHeight="false" outlineLevel="0" collapsed="false">
      <c r="B38" s="73"/>
      <c r="C38" s="11"/>
      <c r="D38" s="11"/>
      <c r="E38" s="11"/>
      <c r="F38" s="11"/>
      <c r="G38" s="11"/>
      <c r="H38" s="11"/>
      <c r="I38" s="11"/>
      <c r="J38" s="11"/>
      <c r="K38" s="11"/>
      <c r="L38" s="14"/>
      <c r="M38" s="14"/>
      <c r="N38" s="14"/>
      <c r="O38" s="14"/>
      <c r="P38" s="14"/>
      <c r="Q38" s="14"/>
      <c r="R38" s="14"/>
      <c r="S38" s="14"/>
      <c r="T38" s="14"/>
      <c r="U38" s="15"/>
    </row>
    <row r="39" customFormat="false" ht="15" hidden="false" customHeight="false" outlineLevel="0" collapsed="false">
      <c r="B39" s="74" t="s">
        <v>47</v>
      </c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</row>
    <row r="40" customFormat="false" ht="15" hidden="false" customHeight="false" outlineLevel="0" collapsed="false">
      <c r="B40" s="75" t="str">
        <f aca="false">IF(L19="Вторая обмотка - 10Р","Доп. обмотка трансформатора тока 10Р будет выведена на клемник и закорочена"," ")</f>
        <v> </v>
      </c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</row>
    <row r="41" customFormat="false" ht="15" hidden="false" customHeight="false" outlineLevel="0" collapsed="false">
      <c r="B41" s="75" t="s">
        <v>48</v>
      </c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</row>
    <row r="42" customFormat="false" ht="15" hidden="false" customHeight="false" outlineLevel="0" collapsed="false">
      <c r="B42" s="75" t="s">
        <v>49</v>
      </c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</row>
    <row r="43" customFormat="false" ht="15" hidden="false" customHeight="false" outlineLevel="0" collapsed="false"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</row>
    <row r="44" customFormat="false" ht="18" hidden="false" customHeight="false" outlineLevel="0" collapsed="false">
      <c r="A44" s="76"/>
      <c r="B44" s="77" t="s">
        <v>50</v>
      </c>
      <c r="C44" s="78" t="s">
        <v>51</v>
      </c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80" t="s">
        <v>52</v>
      </c>
      <c r="P44" s="81"/>
      <c r="Q44" s="81"/>
      <c r="R44" s="81"/>
      <c r="S44" s="82"/>
      <c r="T44" s="83"/>
      <c r="U44" s="84"/>
    </row>
    <row r="45" customFormat="false" ht="20.25" hidden="false" customHeight="false" outlineLevel="0" collapsed="false">
      <c r="B45" s="85" t="s">
        <v>53</v>
      </c>
      <c r="C45" s="86" t="n">
        <v>1</v>
      </c>
      <c r="D45" s="86"/>
      <c r="E45" s="86"/>
      <c r="F45" s="86"/>
      <c r="G45" s="86"/>
      <c r="H45" s="86"/>
      <c r="I45" s="86"/>
      <c r="J45" s="86"/>
      <c r="K45" s="11"/>
      <c r="L45" s="14"/>
      <c r="M45" s="14"/>
      <c r="N45" s="14"/>
      <c r="O45" s="87" t="s">
        <v>54</v>
      </c>
      <c r="P45" s="14"/>
      <c r="Q45" s="88" t="str">
        <f aca="false">Список!I168</f>
        <v>нестандартная</v>
      </c>
      <c r="R45" s="88"/>
      <c r="S45" s="88"/>
      <c r="T45" s="88"/>
      <c r="U45" s="15"/>
    </row>
    <row r="46" customFormat="false" ht="11.25" hidden="false" customHeight="true" outlineLevel="0" collapsed="false">
      <c r="B46" s="73"/>
      <c r="C46" s="11"/>
      <c r="D46" s="11"/>
      <c r="E46" s="11"/>
      <c r="F46" s="11"/>
      <c r="G46" s="11"/>
      <c r="H46" s="11"/>
      <c r="I46" s="11"/>
      <c r="J46" s="11"/>
      <c r="K46" s="11"/>
      <c r="L46" s="14"/>
      <c r="M46" s="14"/>
      <c r="N46" s="14"/>
      <c r="O46" s="14"/>
      <c r="P46" s="14"/>
      <c r="Q46" s="14"/>
      <c r="R46" s="14"/>
      <c r="S46" s="14"/>
      <c r="T46" s="14"/>
      <c r="U46" s="15"/>
    </row>
    <row r="47" customFormat="false" ht="30" hidden="false" customHeight="true" outlineLevel="0" collapsed="false">
      <c r="B47" s="89" t="s">
        <v>55</v>
      </c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</row>
  </sheetData>
  <mergeCells count="53">
    <mergeCell ref="C1:U1"/>
    <mergeCell ref="C2:U2"/>
    <mergeCell ref="C3:U3"/>
    <mergeCell ref="C4:U4"/>
    <mergeCell ref="B6:U6"/>
    <mergeCell ref="C7:J7"/>
    <mergeCell ref="C8:J8"/>
    <mergeCell ref="C9:J9"/>
    <mergeCell ref="O9:Q9"/>
    <mergeCell ref="S9:U9"/>
    <mergeCell ref="C10:J10"/>
    <mergeCell ref="C11:J11"/>
    <mergeCell ref="C13:J13"/>
    <mergeCell ref="C14:J14"/>
    <mergeCell ref="C15:J15"/>
    <mergeCell ref="C16:J16"/>
    <mergeCell ref="C18:J18"/>
    <mergeCell ref="O18:Q18"/>
    <mergeCell ref="S18:U18"/>
    <mergeCell ref="C19:J19"/>
    <mergeCell ref="L19:S19"/>
    <mergeCell ref="C20:J20"/>
    <mergeCell ref="C21:J21"/>
    <mergeCell ref="O21:Q21"/>
    <mergeCell ref="C22:J22"/>
    <mergeCell ref="C23:J23"/>
    <mergeCell ref="C24:J24"/>
    <mergeCell ref="Q24:S24"/>
    <mergeCell ref="C25:J25"/>
    <mergeCell ref="C26:J26"/>
    <mergeCell ref="C27:J27"/>
    <mergeCell ref="C28:J28"/>
    <mergeCell ref="C29:J29"/>
    <mergeCell ref="C30:J30"/>
    <mergeCell ref="L30:T30"/>
    <mergeCell ref="C31:J31"/>
    <mergeCell ref="M31:T31"/>
    <mergeCell ref="C32:J32"/>
    <mergeCell ref="N32:Q32"/>
    <mergeCell ref="C33:J33"/>
    <mergeCell ref="O33:Q33"/>
    <mergeCell ref="C34:J34"/>
    <mergeCell ref="C35:J35"/>
    <mergeCell ref="C36:J36"/>
    <mergeCell ref="C37:J37"/>
    <mergeCell ref="B39:U39"/>
    <mergeCell ref="B40:U40"/>
    <mergeCell ref="B41:U41"/>
    <mergeCell ref="B42:U42"/>
    <mergeCell ref="B43:U43"/>
    <mergeCell ref="C45:J45"/>
    <mergeCell ref="Q45:T45"/>
    <mergeCell ref="B47:U47"/>
  </mergeCells>
  <conditionalFormatting sqref="O9:Q9">
    <cfRule type="expression" priority="2" aboveAverage="0" equalAverage="0" bottom="0" percent="0" rank="0" text="" dxfId="0">
      <formula>$C$9="Да"</formula>
    </cfRule>
    <cfRule type="expression" priority="3" aboveAverage="0" equalAverage="0" bottom="0" percent="0" rank="0" text="" dxfId="1">
      <formula>$C$9="Да"</formula>
    </cfRule>
  </conditionalFormatting>
  <conditionalFormatting sqref="S9:U9">
    <cfRule type="expression" priority="4" aboveAverage="0" equalAverage="0" bottom="0" percent="0" rank="0" text="" dxfId="2">
      <formula>$O$9="Другой"</formula>
    </cfRule>
  </conditionalFormatting>
  <conditionalFormatting sqref="O18:Q18">
    <cfRule type="expression" priority="5" aboveAverage="0" equalAverage="0" bottom="0" percent="0" rank="0" text="" dxfId="3">
      <formula>$C$18="Другой"</formula>
    </cfRule>
  </conditionalFormatting>
  <conditionalFormatting sqref="N32:Q32">
    <cfRule type="expression" priority="6" aboveAverage="0" equalAverage="0" bottom="0" percent="0" rank="0" text="" dxfId="4">
      <formula>$M$32="Тип:"</formula>
    </cfRule>
  </conditionalFormatting>
  <conditionalFormatting sqref="K14">
    <cfRule type="containsText" priority="7" operator="containsText" aboveAverage="0" equalAverage="0" bottom="0" percent="0" rank="0" text="О" dxfId="5">
      <formula>NOT(ISERROR(SEARCH("О",K14)))</formula>
    </cfRule>
  </conditionalFormatting>
  <conditionalFormatting sqref="O21:Q21">
    <cfRule type="expression" priority="8" aboveAverage="0" equalAverage="0" bottom="0" percent="0" rank="0" text="" dxfId="6">
      <formula>$C$21="Другой"</formula>
    </cfRule>
  </conditionalFormatting>
  <conditionalFormatting sqref="Q24">
    <cfRule type="expression" priority="9" aboveAverage="0" equalAverage="0" bottom="0" percent="0" rank="0" text="" dxfId="7">
      <formula>$P$24="Комплектов:"</formula>
    </cfRule>
  </conditionalFormatting>
  <conditionalFormatting sqref="M31:T31">
    <cfRule type="expression" priority="10" aboveAverage="0" equalAverage="0" bottom="0" percent="0" rank="0" text="" dxfId="8">
      <formula>$C$31="Другой"</formula>
    </cfRule>
  </conditionalFormatting>
  <conditionalFormatting sqref="O33:Q33">
    <cfRule type="expression" priority="11" aboveAverage="0" equalAverage="0" bottom="0" percent="0" rank="0" text="" dxfId="9">
      <formula>$C$33="Да"</formula>
    </cfRule>
  </conditionalFormatting>
  <conditionalFormatting sqref="L30:T30">
    <cfRule type="expression" priority="12" aboveAverage="0" equalAverage="0" bottom="0" percent="0" rank="0" text="" dxfId="10">
      <formula>$K$30=0</formula>
    </cfRule>
  </conditionalFormatting>
  <dataValidations count="23">
    <dataValidation allowBlank="true" errorStyle="stop" operator="between" showDropDown="false" showErrorMessage="true" showInputMessage="true" sqref="C45" type="list">
      <formula1>колол</formula1>
      <formula2>0</formula2>
    </dataValidation>
    <dataValidation allowBlank="true" errorStyle="stop" operator="between" showDropDown="false" showErrorMessage="true" showInputMessage="true" sqref="C26" type="list">
      <formula1>разъединительввод</formula1>
      <formula2>0</formula2>
    </dataValidation>
    <dataValidation allowBlank="true" errorStyle="stop" operator="between" showDropDown="false" showErrorMessage="true" showInputMessage="true" sqref="C7:J7" type="list">
      <formula1>класснапряжПКУ</formula1>
      <formula2>0</formula2>
    </dataValidation>
    <dataValidation allowBlank="true" errorStyle="stop" operator="between" showDropDown="false" showErrorMessage="true" showInputMessage="true" sqref="C13:J13" type="list">
      <formula1>INDIRECT($C$7)</formula1>
      <formula2>0</formula2>
    </dataValidation>
    <dataValidation allowBlank="true" errorStyle="stop" operator="between" showDropDown="false" showErrorMessage="true" showInputMessage="true" sqref="C14:J14" type="list">
      <formula1>INDIRECT($C$13)</formula1>
      <formula2>0</formula2>
    </dataValidation>
    <dataValidation allowBlank="true" errorStyle="stop" operator="between" showDropDown="false" showErrorMessage="true" showInputMessage="true" sqref="C9:J9" type="list">
      <formula1>Список!$B$4:$C$4</formula1>
      <formula2>0</formula2>
    </dataValidation>
    <dataValidation allowBlank="true" errorStyle="stop" operator="between" showDropDown="false" showErrorMessage="true" showInputMessage="true" sqref="C10:J10" type="list">
      <formula1>Список!$B$5:$C$5</formula1>
      <formula2>0</formula2>
    </dataValidation>
    <dataValidation allowBlank="true" errorStyle="stop" operator="between" showDropDown="false" showErrorMessage="true" showInputMessage="true" sqref="O9:Q9" type="list">
      <formula1>Список!$F$4:$I$4</formula1>
      <formula2>0</formula2>
    </dataValidation>
    <dataValidation allowBlank="true" errorStyle="stop" operator="between" showDropDown="false" showErrorMessage="true" showInputMessage="true" sqref="C15:J15" type="list">
      <formula1>Список!$B$9:$E$9</formula1>
      <formula2>0</formula2>
    </dataValidation>
    <dataValidation allowBlank="true" errorStyle="stop" operator="between" showDropDown="false" showErrorMessage="true" showInputMessage="true" sqref="C18:J18" type="list">
      <formula1>Список!$B$12:$U$12</formula1>
      <formula2>0</formula2>
    </dataValidation>
    <dataValidation allowBlank="true" errorStyle="stop" operator="between" showDropDown="false" showErrorMessage="true" showInputMessage="true" sqref="C21:J21" type="list">
      <formula1>Список!$B$15:$F$15</formula1>
      <formula2>0</formula2>
    </dataValidation>
    <dataValidation allowBlank="true" errorStyle="stop" operator="between" showDropDown="false" showErrorMessage="true" showInputMessage="true" sqref="C22:J22" type="list">
      <formula1>Список!$B$16:$C$16</formula1>
      <formula2>0</formula2>
    </dataValidation>
    <dataValidation allowBlank="true" errorStyle="stop" operator="between" showDropDown="false" showErrorMessage="true" showInputMessage="true" sqref="C24:J24" type="list">
      <formula1>Список!$B$18:$V$18</formula1>
      <formula2>0</formula2>
    </dataValidation>
    <dataValidation allowBlank="true" errorStyle="stop" operator="between" showDropDown="false" showErrorMessage="true" showInputMessage="true" sqref="C25:J25 C29:J29" type="list">
      <formula1>Список!$B$20:$C$20</formula1>
      <formula2>0</formula2>
    </dataValidation>
    <dataValidation allowBlank="true" errorStyle="stop" operator="between" showDropDown="false" showErrorMessage="true" showInputMessage="true" sqref="Q24" type="list">
      <formula1>Список!$B$19:$C$19</formula1>
      <formula2>0</formula2>
    </dataValidation>
    <dataValidation allowBlank="true" errorStyle="stop" operator="between" showDropDown="false" showErrorMessage="true" showInputMessage="true" sqref="C28:J28" type="list">
      <formula1>Список!$B$23:$E$23</formula1>
      <formula2>0</formula2>
    </dataValidation>
    <dataValidation allowBlank="true" errorStyle="stop" operator="between" showDropDown="false" showErrorMessage="true" showInputMessage="true" sqref="C33:J33" type="list">
      <formula1>Список!$B$27:$C$27</formula1>
      <formula2>0</formula2>
    </dataValidation>
    <dataValidation allowBlank="true" errorStyle="stop" operator="between" showDropDown="false" showErrorMessage="true" showInputMessage="true" sqref="C19:J19" type="list">
      <formula1>Список!$B$13:$G$13</formula1>
      <formula2>0</formula2>
    </dataValidation>
    <dataValidation allowBlank="true" errorStyle="stop" operator="between" showDropDown="false" showErrorMessage="true" showInputMessage="true" sqref="C30:J30" type="list">
      <formula1>Список!$B$24:$E$24</formula1>
      <formula2>0</formula2>
    </dataValidation>
    <dataValidation allowBlank="true" errorStyle="stop" operator="between" showDropDown="false" showErrorMessage="true" showInputMessage="true" sqref="C34:J36" type="list">
      <formula1>Список!$B$74:$C$74</formula1>
      <formula2>0</formula2>
    </dataValidation>
    <dataValidation allowBlank="true" errorStyle="stop" operator="between" showDropDown="false" showErrorMessage="true" showInputMessage="true" sqref="C8:J8" type="list">
      <formula1>Список!$B$3:$E$3</formula1>
      <formula2>0</formula2>
    </dataValidation>
    <dataValidation allowBlank="true" errorStyle="stop" operator="between" showDropDown="false" showErrorMessage="true" showInputMessage="true" sqref="C32:J32" type="list">
      <formula1>Список!$B$26:$I$26</formula1>
      <formula2>0</formula2>
    </dataValidation>
    <dataValidation allowBlank="true" errorStyle="stop" operator="between" showDropDown="false" showErrorMessage="true" showInputMessage="true" sqref="L19:S19" type="list">
      <formula1>Список!$A$174:$A$175</formula1>
      <formula2>0</formula2>
    </dataValidation>
  </dataValidations>
  <printOptions headings="false" gridLines="false" gridLinesSet="true" horizontalCentered="true" verticalCentered="false"/>
  <pageMargins left="0.25" right="0.25" top="0.75" bottom="0.75" header="0.511805555555555" footer="0.511805555555555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P175"/>
  <sheetViews>
    <sheetView showFormulas="false" showGridLines="true" showRowColHeaders="true" showZeros="true" rightToLeft="false" tabSelected="false" showOutlineSymbols="true" defaultGridColor="true" view="normal" topLeftCell="A147" colorId="64" zoomScale="85" zoomScaleNormal="85" zoomScalePageLayoutView="95" workbookViewId="0">
      <selection pane="topLeft" activeCell="A174" activeCellId="0" sqref="A174"/>
    </sheetView>
  </sheetViews>
  <sheetFormatPr defaultColWidth="9.15625" defaultRowHeight="15.75" zeroHeight="false" outlineLevelRow="0" outlineLevelCol="0"/>
  <cols>
    <col collapsed="false" customWidth="true" hidden="false" outlineLevel="0" max="1" min="1" style="2" width="55.29"/>
    <col collapsed="false" customWidth="true" hidden="false" outlineLevel="0" max="8" min="2" style="90" width="9.58"/>
    <col collapsed="false" customWidth="true" hidden="false" outlineLevel="0" max="9" min="9" style="90" width="19.14"/>
    <col collapsed="false" customWidth="true" hidden="false" outlineLevel="0" max="10" min="10" style="90" width="9.58"/>
    <col collapsed="false" customWidth="true" hidden="false" outlineLevel="0" max="11" min="11" style="90" width="10.58"/>
    <col collapsed="false" customWidth="true" hidden="false" outlineLevel="0" max="30" min="12" style="90" width="9.58"/>
    <col collapsed="false" customWidth="true" hidden="false" outlineLevel="0" max="36" min="31" style="91" width="9.58"/>
    <col collapsed="false" customWidth="false" hidden="false" outlineLevel="0" max="41" min="37" style="91" width="9.14"/>
    <col collapsed="false" customWidth="false" hidden="false" outlineLevel="0" max="1024" min="42" style="2" width="9.14"/>
  </cols>
  <sheetData>
    <row r="1" customFormat="false" ht="14.45" hidden="false" customHeight="true" outlineLevel="0" collapsed="false">
      <c r="A1" s="92" t="s">
        <v>56</v>
      </c>
    </row>
    <row r="2" customFormat="false" ht="14.45" hidden="false" customHeight="true" outlineLevel="0" collapsed="false">
      <c r="A2" s="17" t="s">
        <v>6</v>
      </c>
      <c r="B2" s="90" t="n">
        <v>6</v>
      </c>
      <c r="C2" s="90" t="n">
        <v>10</v>
      </c>
    </row>
    <row r="3" customFormat="false" ht="14.45" hidden="false" customHeight="true" outlineLevel="0" collapsed="false">
      <c r="A3" s="17" t="s">
        <v>10</v>
      </c>
      <c r="B3" s="90" t="s">
        <v>11</v>
      </c>
      <c r="C3" s="90" t="s">
        <v>57</v>
      </c>
      <c r="D3" s="90" t="s">
        <v>58</v>
      </c>
      <c r="E3" s="90" t="s">
        <v>59</v>
      </c>
    </row>
    <row r="4" customFormat="false" ht="14.45" hidden="false" customHeight="true" outlineLevel="0" collapsed="false">
      <c r="A4" s="27" t="s">
        <v>14</v>
      </c>
      <c r="B4" s="90" t="s">
        <v>15</v>
      </c>
      <c r="C4" s="90" t="s">
        <v>28</v>
      </c>
      <c r="E4" s="93" t="s">
        <v>60</v>
      </c>
      <c r="F4" s="90" t="s">
        <v>61</v>
      </c>
      <c r="G4" s="90" t="s">
        <v>62</v>
      </c>
      <c r="H4" s="90" t="s">
        <v>16</v>
      </c>
      <c r="I4" s="90" t="s">
        <v>63</v>
      </c>
    </row>
    <row r="5" customFormat="false" ht="14.45" hidden="false" customHeight="true" outlineLevel="0" collapsed="false">
      <c r="A5" s="33" t="s">
        <v>17</v>
      </c>
      <c r="B5" s="90" t="s">
        <v>15</v>
      </c>
      <c r="C5" s="90" t="s">
        <v>28</v>
      </c>
    </row>
    <row r="6" customFormat="false" ht="14.45" hidden="false" customHeight="true" outlineLevel="0" collapsed="false">
      <c r="A6" s="45"/>
      <c r="B6" s="94"/>
      <c r="C6" s="94"/>
      <c r="D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14"/>
    </row>
    <row r="7" customFormat="false" ht="14.45" hidden="false" customHeight="true" outlineLevel="0" collapsed="false">
      <c r="A7" s="92" t="s">
        <v>19</v>
      </c>
      <c r="B7" s="97" t="s">
        <v>64</v>
      </c>
      <c r="C7" s="90" t="str">
        <f aca="false">IF('ОЛ ПКУ'!C8="3ТТ и 3ТН"," ","НОЛП-6")</f>
        <v> </v>
      </c>
      <c r="D7" s="97" t="s">
        <v>65</v>
      </c>
      <c r="E7" s="97" t="s">
        <v>66</v>
      </c>
      <c r="F7" s="90" t="str">
        <f aca="false">IF('ОЛ ПКУ'!C8="3ТТ и 3ТН"," ","НОЛП-10")</f>
        <v> </v>
      </c>
      <c r="G7" s="97" t="s">
        <v>67</v>
      </c>
      <c r="J7" s="94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14"/>
    </row>
    <row r="8" customFormat="false" ht="14.45" hidden="false" customHeight="true" outlineLevel="0" collapsed="false">
      <c r="A8" s="98" t="s">
        <v>21</v>
      </c>
      <c r="B8" s="99" t="n">
        <v>6</v>
      </c>
      <c r="C8" s="99" t="n">
        <v>6.3</v>
      </c>
      <c r="D8" s="90" t="n">
        <v>6.6</v>
      </c>
      <c r="E8" s="90" t="n">
        <v>6.9</v>
      </c>
      <c r="F8" s="94" t="n">
        <v>10</v>
      </c>
      <c r="G8" s="94" t="n">
        <v>10.5</v>
      </c>
      <c r="H8" s="94" t="n">
        <v>11</v>
      </c>
      <c r="I8" s="94"/>
      <c r="J8" s="94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14"/>
    </row>
    <row r="9" customFormat="false" ht="14.45" hidden="false" customHeight="true" outlineLevel="0" collapsed="false">
      <c r="A9" s="98" t="s">
        <v>22</v>
      </c>
      <c r="B9" s="99" t="n">
        <v>0.2</v>
      </c>
      <c r="C9" s="99" t="n">
        <v>0.5</v>
      </c>
      <c r="D9" s="94" t="n">
        <v>1</v>
      </c>
      <c r="E9" s="94" t="n">
        <v>3</v>
      </c>
      <c r="F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14"/>
    </row>
    <row r="10" customFormat="false" ht="14.45" hidden="false" customHeight="true" outlineLevel="0" collapsed="false">
      <c r="A10" s="45"/>
      <c r="B10" s="94"/>
      <c r="C10" s="94"/>
      <c r="D10" s="94"/>
      <c r="E10" s="94"/>
      <c r="F10" s="94"/>
      <c r="G10" s="94"/>
      <c r="H10" s="94"/>
      <c r="I10" s="94"/>
      <c r="J10" s="94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14"/>
    </row>
    <row r="11" customFormat="false" ht="14.45" hidden="false" customHeight="true" outlineLevel="0" collapsed="false">
      <c r="A11" s="92" t="s">
        <v>23</v>
      </c>
      <c r="B11" s="101"/>
      <c r="C11" s="94"/>
      <c r="D11" s="94"/>
      <c r="E11" s="94"/>
      <c r="F11" s="94"/>
      <c r="G11" s="94"/>
      <c r="H11" s="94"/>
      <c r="I11" s="94"/>
      <c r="J11" s="94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14"/>
    </row>
    <row r="12" customFormat="false" ht="14.45" hidden="false" customHeight="true" outlineLevel="0" collapsed="false">
      <c r="A12" s="98" t="s">
        <v>24</v>
      </c>
      <c r="B12" s="99" t="n">
        <v>5</v>
      </c>
      <c r="C12" s="99" t="n">
        <v>10</v>
      </c>
      <c r="D12" s="94" t="n">
        <v>15</v>
      </c>
      <c r="E12" s="94" t="n">
        <v>20</v>
      </c>
      <c r="F12" s="99" t="n">
        <v>30</v>
      </c>
      <c r="G12" s="99" t="n">
        <v>40</v>
      </c>
      <c r="H12" s="94" t="n">
        <v>50</v>
      </c>
      <c r="I12" s="94" t="n">
        <v>75</v>
      </c>
      <c r="J12" s="99" t="n">
        <v>80</v>
      </c>
      <c r="K12" s="99" t="n">
        <v>100</v>
      </c>
      <c r="L12" s="94" t="n">
        <v>150</v>
      </c>
      <c r="M12" s="94" t="n">
        <v>200</v>
      </c>
      <c r="N12" s="99" t="n">
        <v>300</v>
      </c>
      <c r="O12" s="99" t="n">
        <v>400</v>
      </c>
      <c r="P12" s="94" t="n">
        <v>500</v>
      </c>
      <c r="Q12" s="94" t="n">
        <v>600</v>
      </c>
      <c r="R12" s="99" t="n">
        <v>750</v>
      </c>
      <c r="S12" s="99" t="n">
        <v>800</v>
      </c>
      <c r="T12" s="94" t="n">
        <v>1000</v>
      </c>
      <c r="U12" s="94" t="s">
        <v>63</v>
      </c>
      <c r="V12" s="99"/>
      <c r="W12" s="95"/>
      <c r="X12" s="95"/>
      <c r="Y12" s="95"/>
      <c r="Z12" s="95"/>
      <c r="AA12" s="95"/>
      <c r="AB12" s="95"/>
      <c r="AC12" s="95"/>
      <c r="AD12" s="95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14"/>
    </row>
    <row r="13" customFormat="false" ht="14.45" hidden="false" customHeight="true" outlineLevel="0" collapsed="false">
      <c r="A13" s="98" t="s">
        <v>22</v>
      </c>
      <c r="B13" s="94" t="n">
        <v>0.2</v>
      </c>
      <c r="C13" s="99" t="s">
        <v>68</v>
      </c>
      <c r="D13" s="99" t="s">
        <v>25</v>
      </c>
      <c r="E13" s="94" t="n">
        <v>0.5</v>
      </c>
      <c r="F13" s="94" t="n">
        <v>1</v>
      </c>
      <c r="G13" s="99" t="s">
        <v>63</v>
      </c>
      <c r="H13" s="99"/>
      <c r="I13" s="99"/>
      <c r="J13" s="94"/>
      <c r="K13" s="94"/>
      <c r="L13" s="99"/>
      <c r="M13" s="99"/>
      <c r="N13" s="99"/>
      <c r="O13" s="99"/>
      <c r="P13" s="94"/>
      <c r="Q13" s="94"/>
      <c r="R13" s="99"/>
      <c r="S13" s="99"/>
      <c r="T13" s="99"/>
      <c r="U13" s="99"/>
      <c r="V13" s="94"/>
      <c r="W13" s="94"/>
      <c r="X13" s="99"/>
      <c r="Y13" s="99"/>
      <c r="Z13" s="99"/>
      <c r="AA13" s="99"/>
      <c r="AB13" s="94"/>
      <c r="AC13" s="94"/>
      <c r="AD13" s="99"/>
      <c r="AE13" s="102"/>
      <c r="AF13" s="102"/>
      <c r="AG13" s="102"/>
      <c r="AH13" s="103"/>
      <c r="AI13" s="103"/>
      <c r="AJ13" s="102"/>
      <c r="AK13" s="102"/>
      <c r="AL13" s="102"/>
      <c r="AM13" s="102"/>
      <c r="AN13" s="103"/>
      <c r="AO13" s="96"/>
      <c r="AP13" s="14"/>
    </row>
    <row r="14" customFormat="false" ht="14.45" hidden="false" customHeight="true" outlineLevel="0" collapsed="false">
      <c r="A14" s="45"/>
      <c r="B14" s="99"/>
      <c r="C14" s="99"/>
      <c r="D14" s="94"/>
      <c r="E14" s="94"/>
      <c r="F14" s="99"/>
      <c r="G14" s="99"/>
      <c r="H14" s="99"/>
      <c r="I14" s="99"/>
      <c r="J14" s="94"/>
      <c r="K14" s="94"/>
      <c r="L14" s="99"/>
      <c r="M14" s="99"/>
      <c r="N14" s="99"/>
      <c r="O14" s="99"/>
      <c r="P14" s="94"/>
      <c r="Q14" s="94"/>
      <c r="R14" s="99"/>
      <c r="S14" s="99"/>
      <c r="T14" s="99"/>
      <c r="U14" s="99"/>
      <c r="V14" s="94"/>
      <c r="W14" s="94"/>
      <c r="X14" s="99"/>
      <c r="Y14" s="99"/>
      <c r="Z14" s="99"/>
      <c r="AA14" s="99"/>
      <c r="AB14" s="94"/>
      <c r="AC14" s="94"/>
      <c r="AD14" s="99"/>
      <c r="AE14" s="102"/>
      <c r="AF14" s="102"/>
      <c r="AG14" s="102"/>
      <c r="AH14" s="103"/>
      <c r="AI14" s="103"/>
      <c r="AJ14" s="102"/>
      <c r="AK14" s="102"/>
      <c r="AL14" s="102"/>
      <c r="AM14" s="102"/>
      <c r="AN14" s="103"/>
      <c r="AO14" s="96"/>
      <c r="AP14" s="14"/>
    </row>
    <row r="15" customFormat="false" ht="14.45" hidden="false" customHeight="true" outlineLevel="0" collapsed="false">
      <c r="A15" s="104" t="s">
        <v>27</v>
      </c>
      <c r="B15" s="99" t="s">
        <v>69</v>
      </c>
      <c r="C15" s="99"/>
      <c r="D15" s="94"/>
      <c r="E15" s="94" t="s">
        <v>63</v>
      </c>
      <c r="F15" s="99" t="s">
        <v>28</v>
      </c>
      <c r="G15" s="99"/>
      <c r="H15" s="99"/>
      <c r="I15" s="99"/>
      <c r="J15" s="94"/>
      <c r="K15" s="94"/>
      <c r="L15" s="99"/>
      <c r="M15" s="99"/>
      <c r="N15" s="99"/>
      <c r="O15" s="99"/>
      <c r="P15" s="94"/>
      <c r="Q15" s="94"/>
      <c r="R15" s="99"/>
      <c r="S15" s="99"/>
      <c r="T15" s="99"/>
      <c r="U15" s="99"/>
      <c r="V15" s="94"/>
      <c r="W15" s="94"/>
      <c r="X15" s="99"/>
      <c r="Y15" s="99"/>
      <c r="Z15" s="99"/>
      <c r="AA15" s="99"/>
      <c r="AB15" s="94"/>
      <c r="AC15" s="94"/>
      <c r="AD15" s="99"/>
      <c r="AE15" s="102"/>
      <c r="AF15" s="102"/>
      <c r="AG15" s="102"/>
      <c r="AH15" s="103"/>
      <c r="AI15" s="103"/>
      <c r="AJ15" s="102"/>
      <c r="AK15" s="102"/>
      <c r="AL15" s="102"/>
      <c r="AM15" s="102"/>
      <c r="AN15" s="103"/>
      <c r="AO15" s="96"/>
      <c r="AP15" s="14"/>
    </row>
    <row r="16" customFormat="false" ht="14.45" hidden="false" customHeight="true" outlineLevel="0" collapsed="false">
      <c r="A16" s="98" t="s">
        <v>29</v>
      </c>
      <c r="B16" s="99" t="s">
        <v>15</v>
      </c>
      <c r="C16" s="99" t="s">
        <v>28</v>
      </c>
      <c r="D16" s="94"/>
      <c r="E16" s="94"/>
      <c r="F16" s="99"/>
      <c r="G16" s="99"/>
      <c r="H16" s="99"/>
      <c r="I16" s="99"/>
      <c r="J16" s="94"/>
      <c r="K16" s="94"/>
      <c r="L16" s="99"/>
      <c r="M16" s="99"/>
      <c r="N16" s="99"/>
      <c r="O16" s="99"/>
      <c r="P16" s="94"/>
      <c r="Q16" s="94"/>
      <c r="R16" s="99"/>
      <c r="S16" s="99"/>
      <c r="T16" s="99"/>
      <c r="U16" s="99"/>
      <c r="V16" s="94"/>
      <c r="W16" s="94"/>
      <c r="X16" s="99"/>
      <c r="Y16" s="99"/>
      <c r="Z16" s="99"/>
      <c r="AA16" s="99"/>
      <c r="AB16" s="94"/>
      <c r="AC16" s="94"/>
      <c r="AD16" s="99"/>
      <c r="AE16" s="102"/>
      <c r="AF16" s="102"/>
      <c r="AG16" s="102"/>
      <c r="AH16" s="103"/>
      <c r="AI16" s="103"/>
      <c r="AJ16" s="102"/>
      <c r="AK16" s="102"/>
      <c r="AL16" s="102"/>
      <c r="AM16" s="102"/>
      <c r="AN16" s="103"/>
      <c r="AO16" s="96"/>
      <c r="AP16" s="14"/>
    </row>
    <row r="17" customFormat="false" ht="14.45" hidden="false" customHeight="true" outlineLevel="0" collapsed="false">
      <c r="A17" s="45"/>
      <c r="B17" s="99"/>
      <c r="C17" s="99"/>
      <c r="D17" s="94"/>
      <c r="E17" s="94"/>
      <c r="F17" s="99"/>
      <c r="G17" s="99"/>
      <c r="H17" s="99"/>
      <c r="I17" s="99"/>
      <c r="J17" s="94"/>
      <c r="K17" s="94"/>
      <c r="L17" s="99"/>
      <c r="M17" s="99"/>
      <c r="N17" s="99"/>
      <c r="O17" s="99"/>
      <c r="P17" s="94"/>
      <c r="Q17" s="94"/>
      <c r="R17" s="99"/>
      <c r="S17" s="99"/>
      <c r="T17" s="99"/>
      <c r="U17" s="99"/>
      <c r="V17" s="94"/>
      <c r="W17" s="94"/>
      <c r="X17" s="99"/>
      <c r="Y17" s="99"/>
      <c r="Z17" s="99"/>
      <c r="AA17" s="99"/>
      <c r="AB17" s="94"/>
      <c r="AC17" s="94"/>
      <c r="AD17" s="99"/>
      <c r="AE17" s="102"/>
      <c r="AF17" s="102"/>
      <c r="AG17" s="102"/>
      <c r="AH17" s="103"/>
      <c r="AI17" s="103"/>
      <c r="AJ17" s="102"/>
      <c r="AK17" s="102"/>
      <c r="AL17" s="102"/>
      <c r="AM17" s="102"/>
      <c r="AN17" s="103"/>
      <c r="AO17" s="96"/>
      <c r="AP17" s="14"/>
    </row>
    <row r="18" customFormat="false" ht="14.45" hidden="false" customHeight="true" outlineLevel="0" collapsed="false">
      <c r="A18" s="92" t="s">
        <v>31</v>
      </c>
      <c r="B18" s="99" t="s">
        <v>28</v>
      </c>
      <c r="C18" s="105" t="s">
        <v>70</v>
      </c>
      <c r="D18" s="99" t="s">
        <v>71</v>
      </c>
      <c r="E18" s="94" t="s">
        <v>32</v>
      </c>
      <c r="F18" s="94" t="s">
        <v>72</v>
      </c>
      <c r="G18" s="99" t="s">
        <v>73</v>
      </c>
      <c r="H18" s="99" t="s">
        <v>74</v>
      </c>
      <c r="I18" s="99" t="s">
        <v>75</v>
      </c>
      <c r="J18" s="99" t="s">
        <v>76</v>
      </c>
      <c r="K18" s="94"/>
      <c r="L18" s="94" t="s">
        <v>77</v>
      </c>
      <c r="M18" s="99" t="s">
        <v>78</v>
      </c>
      <c r="N18" s="99" t="s">
        <v>79</v>
      </c>
      <c r="O18" s="99" t="s">
        <v>80</v>
      </c>
      <c r="P18" s="99" t="s">
        <v>81</v>
      </c>
      <c r="Q18" s="94" t="s">
        <v>82</v>
      </c>
      <c r="R18" s="94" t="s">
        <v>83</v>
      </c>
      <c r="S18" s="99" t="s">
        <v>84</v>
      </c>
      <c r="T18" s="99" t="s">
        <v>85</v>
      </c>
      <c r="U18" s="106"/>
      <c r="V18" s="99" t="s">
        <v>63</v>
      </c>
      <c r="W18" s="94"/>
      <c r="X18" s="99"/>
      <c r="Y18" s="99"/>
      <c r="Z18" s="99"/>
      <c r="AA18" s="99"/>
      <c r="AB18" s="94"/>
      <c r="AC18" s="94"/>
      <c r="AD18" s="99"/>
      <c r="AE18" s="102"/>
      <c r="AF18" s="102"/>
      <c r="AG18" s="102"/>
      <c r="AH18" s="103"/>
      <c r="AI18" s="103"/>
      <c r="AJ18" s="102"/>
      <c r="AK18" s="102"/>
      <c r="AL18" s="102"/>
      <c r="AM18" s="102"/>
      <c r="AN18" s="103"/>
      <c r="AO18" s="96"/>
      <c r="AP18" s="14"/>
    </row>
    <row r="19" customFormat="false" ht="14.45" hidden="false" customHeight="true" outlineLevel="0" collapsed="false">
      <c r="A19" s="98" t="s">
        <v>86</v>
      </c>
      <c r="B19" s="99" t="n">
        <v>1</v>
      </c>
      <c r="C19" s="99" t="n">
        <v>2</v>
      </c>
      <c r="D19" s="94"/>
      <c r="E19" s="94"/>
      <c r="F19" s="99"/>
      <c r="G19" s="99"/>
      <c r="H19" s="99"/>
      <c r="I19" s="99"/>
      <c r="J19" s="94"/>
      <c r="K19" s="94"/>
      <c r="L19" s="99"/>
      <c r="M19" s="99"/>
      <c r="N19" s="99"/>
      <c r="O19" s="99"/>
      <c r="P19" s="94"/>
      <c r="Q19" s="94"/>
      <c r="R19" s="99"/>
      <c r="S19" s="99"/>
      <c r="T19" s="99"/>
      <c r="U19" s="99"/>
      <c r="V19" s="94"/>
      <c r="W19" s="94"/>
      <c r="X19" s="99"/>
      <c r="Y19" s="99"/>
      <c r="Z19" s="99"/>
      <c r="AA19" s="99"/>
      <c r="AB19" s="94"/>
      <c r="AC19" s="94"/>
      <c r="AD19" s="99"/>
      <c r="AE19" s="102"/>
      <c r="AF19" s="102"/>
      <c r="AG19" s="102"/>
      <c r="AH19" s="103"/>
      <c r="AI19" s="103"/>
      <c r="AJ19" s="102"/>
      <c r="AK19" s="102"/>
      <c r="AL19" s="102"/>
      <c r="AM19" s="102"/>
      <c r="AN19" s="103"/>
      <c r="AO19" s="96"/>
      <c r="AP19" s="14"/>
    </row>
    <row r="20" customFormat="false" ht="14.45" hidden="false" customHeight="true" outlineLevel="0" collapsed="false">
      <c r="A20" s="98" t="s">
        <v>29</v>
      </c>
      <c r="B20" s="99" t="s">
        <v>15</v>
      </c>
      <c r="C20" s="99" t="s">
        <v>28</v>
      </c>
      <c r="D20" s="94"/>
      <c r="E20" s="94"/>
      <c r="F20" s="99"/>
      <c r="G20" s="99"/>
      <c r="H20" s="99"/>
      <c r="I20" s="99"/>
      <c r="J20" s="94"/>
      <c r="K20" s="94"/>
      <c r="L20" s="99"/>
      <c r="M20" s="99"/>
      <c r="N20" s="99"/>
      <c r="O20" s="99"/>
      <c r="P20" s="94"/>
      <c r="Q20" s="94"/>
      <c r="R20" s="99"/>
      <c r="S20" s="99"/>
      <c r="T20" s="99"/>
      <c r="U20" s="99"/>
      <c r="V20" s="94"/>
      <c r="W20" s="94"/>
      <c r="X20" s="99"/>
      <c r="Y20" s="99"/>
      <c r="Z20" s="99"/>
      <c r="AA20" s="99"/>
      <c r="AB20" s="94"/>
      <c r="AC20" s="94"/>
      <c r="AD20" s="99"/>
      <c r="AE20" s="102"/>
      <c r="AF20" s="102"/>
      <c r="AG20" s="102"/>
      <c r="AH20" s="103"/>
      <c r="AI20" s="103"/>
      <c r="AJ20" s="102"/>
      <c r="AK20" s="102"/>
      <c r="AL20" s="102"/>
      <c r="AM20" s="102"/>
      <c r="AN20" s="103"/>
      <c r="AO20" s="96"/>
      <c r="AP20" s="14"/>
    </row>
    <row r="21" customFormat="false" ht="14.45" hidden="false" customHeight="true" outlineLevel="0" collapsed="false">
      <c r="A21" s="45"/>
      <c r="B21" s="99"/>
      <c r="C21" s="99"/>
      <c r="D21" s="94"/>
      <c r="E21" s="106"/>
      <c r="F21" s="99"/>
      <c r="G21" s="99"/>
      <c r="H21" s="99"/>
      <c r="I21" s="99"/>
      <c r="J21" s="94"/>
      <c r="K21" s="94"/>
      <c r="L21" s="99"/>
      <c r="M21" s="99"/>
      <c r="N21" s="99"/>
      <c r="O21" s="99"/>
      <c r="P21" s="94"/>
      <c r="Q21" s="94"/>
      <c r="R21" s="99"/>
      <c r="S21" s="99"/>
      <c r="T21" s="99"/>
      <c r="U21" s="99"/>
      <c r="V21" s="94"/>
      <c r="W21" s="94"/>
      <c r="X21" s="99"/>
      <c r="Y21" s="99"/>
      <c r="Z21" s="99"/>
      <c r="AA21" s="99"/>
      <c r="AB21" s="94"/>
      <c r="AC21" s="94"/>
      <c r="AD21" s="99"/>
      <c r="AE21" s="102"/>
      <c r="AF21" s="102"/>
      <c r="AG21" s="102"/>
      <c r="AH21" s="103"/>
      <c r="AI21" s="103"/>
      <c r="AJ21" s="102"/>
      <c r="AK21" s="102"/>
      <c r="AL21" s="102"/>
      <c r="AM21" s="102"/>
      <c r="AN21" s="103"/>
      <c r="AO21" s="96"/>
      <c r="AP21" s="14"/>
    </row>
    <row r="22" customFormat="false" ht="14.45" hidden="false" customHeight="true" outlineLevel="0" collapsed="false">
      <c r="A22" s="104" t="s">
        <v>33</v>
      </c>
      <c r="B22" s="99"/>
      <c r="C22" s="99"/>
      <c r="D22" s="94"/>
      <c r="E22" s="94"/>
      <c r="F22" s="99"/>
      <c r="G22" s="99"/>
      <c r="H22" s="99"/>
      <c r="I22" s="99"/>
      <c r="J22" s="94"/>
      <c r="K22" s="94"/>
      <c r="L22" s="99"/>
      <c r="M22" s="99"/>
      <c r="N22" s="99"/>
      <c r="O22" s="99"/>
      <c r="P22" s="94"/>
      <c r="Q22" s="94"/>
      <c r="R22" s="99"/>
      <c r="S22" s="99"/>
      <c r="T22" s="99"/>
      <c r="U22" s="99"/>
      <c r="V22" s="94"/>
      <c r="W22" s="94"/>
      <c r="X22" s="99"/>
      <c r="Y22" s="99"/>
      <c r="Z22" s="99"/>
      <c r="AA22" s="99"/>
      <c r="AB22" s="94"/>
      <c r="AC22" s="94"/>
      <c r="AD22" s="99"/>
      <c r="AE22" s="102"/>
      <c r="AF22" s="102"/>
      <c r="AG22" s="102"/>
      <c r="AH22" s="103"/>
      <c r="AI22" s="103"/>
      <c r="AJ22" s="102"/>
      <c r="AK22" s="102"/>
      <c r="AL22" s="102"/>
      <c r="AM22" s="102"/>
      <c r="AN22" s="103"/>
      <c r="AO22" s="96"/>
      <c r="AP22" s="14"/>
    </row>
    <row r="23" customFormat="false" ht="14.45" hidden="false" customHeight="true" outlineLevel="0" collapsed="false">
      <c r="A23" s="58" t="s">
        <v>34</v>
      </c>
      <c r="B23" s="99" t="s">
        <v>35</v>
      </c>
      <c r="C23" s="99"/>
      <c r="D23" s="94"/>
      <c r="E23" s="94" t="s">
        <v>63</v>
      </c>
      <c r="F23" s="99"/>
      <c r="G23" s="99"/>
      <c r="H23" s="99"/>
      <c r="I23" s="99"/>
      <c r="J23" s="94"/>
      <c r="K23" s="94"/>
      <c r="L23" s="99"/>
      <c r="M23" s="99"/>
      <c r="N23" s="99"/>
      <c r="O23" s="99"/>
      <c r="P23" s="94"/>
      <c r="Q23" s="94"/>
      <c r="R23" s="99"/>
      <c r="S23" s="99"/>
      <c r="T23" s="99"/>
      <c r="U23" s="99"/>
      <c r="V23" s="94"/>
      <c r="W23" s="94"/>
      <c r="X23" s="99"/>
      <c r="Y23" s="99"/>
      <c r="Z23" s="99"/>
      <c r="AA23" s="99"/>
      <c r="AB23" s="94"/>
      <c r="AC23" s="94"/>
      <c r="AD23" s="99"/>
      <c r="AE23" s="102"/>
      <c r="AF23" s="102"/>
      <c r="AG23" s="102"/>
      <c r="AH23" s="103"/>
      <c r="AI23" s="103"/>
      <c r="AJ23" s="102"/>
      <c r="AK23" s="102"/>
      <c r="AL23" s="102"/>
      <c r="AM23" s="102"/>
      <c r="AN23" s="103"/>
      <c r="AO23" s="96"/>
      <c r="AP23" s="14"/>
    </row>
    <row r="24" customFormat="false" ht="14.45" hidden="false" customHeight="true" outlineLevel="0" collapsed="false">
      <c r="A24" s="58" t="s">
        <v>37</v>
      </c>
      <c r="B24" s="99" t="s">
        <v>87</v>
      </c>
      <c r="C24" s="99" t="s">
        <v>88</v>
      </c>
      <c r="D24" s="94" t="s">
        <v>38</v>
      </c>
      <c r="E24" s="94" t="s">
        <v>89</v>
      </c>
      <c r="F24" s="99"/>
      <c r="G24" s="99"/>
      <c r="H24" s="99"/>
      <c r="I24" s="99"/>
      <c r="J24" s="94"/>
      <c r="K24" s="94"/>
      <c r="L24" s="99"/>
      <c r="M24" s="99"/>
      <c r="N24" s="99"/>
      <c r="O24" s="99"/>
      <c r="P24" s="94"/>
      <c r="Q24" s="94"/>
      <c r="R24" s="99"/>
      <c r="S24" s="99"/>
      <c r="T24" s="99"/>
      <c r="U24" s="99"/>
      <c r="V24" s="94"/>
      <c r="W24" s="94"/>
      <c r="X24" s="99"/>
      <c r="Y24" s="99"/>
      <c r="Z24" s="99"/>
      <c r="AA24" s="99"/>
      <c r="AB24" s="94"/>
      <c r="AC24" s="94"/>
      <c r="AD24" s="99"/>
      <c r="AE24" s="102"/>
      <c r="AF24" s="102"/>
      <c r="AG24" s="102"/>
      <c r="AH24" s="103"/>
      <c r="AI24" s="103"/>
      <c r="AJ24" s="102"/>
      <c r="AK24" s="102"/>
      <c r="AL24" s="102"/>
      <c r="AM24" s="102"/>
      <c r="AN24" s="103"/>
    </row>
    <row r="25" customFormat="false" ht="14.45" hidden="false" customHeight="true" outlineLevel="0" collapsed="false">
      <c r="A25" s="62" t="s">
        <v>39</v>
      </c>
      <c r="B25" s="107" t="s">
        <v>90</v>
      </c>
      <c r="C25" s="107" t="s">
        <v>91</v>
      </c>
      <c r="D25" s="107" t="s">
        <v>92</v>
      </c>
      <c r="E25" s="107" t="s">
        <v>93</v>
      </c>
      <c r="F25" s="107" t="s">
        <v>94</v>
      </c>
      <c r="G25" s="107" t="s">
        <v>95</v>
      </c>
      <c r="H25" s="107" t="s">
        <v>96</v>
      </c>
      <c r="I25" s="107" t="s">
        <v>97</v>
      </c>
      <c r="J25" s="107" t="s">
        <v>98</v>
      </c>
      <c r="K25" s="107" t="s">
        <v>99</v>
      </c>
      <c r="L25" s="107" t="s">
        <v>100</v>
      </c>
      <c r="M25" s="107" t="s">
        <v>101</v>
      </c>
      <c r="N25" s="107" t="s">
        <v>102</v>
      </c>
      <c r="O25" s="107" t="s">
        <v>103</v>
      </c>
      <c r="P25" s="107" t="s">
        <v>104</v>
      </c>
      <c r="Q25" s="107" t="s">
        <v>105</v>
      </c>
      <c r="R25" s="107" t="s">
        <v>106</v>
      </c>
      <c r="S25" s="107" t="s">
        <v>107</v>
      </c>
      <c r="T25" s="107" t="s">
        <v>63</v>
      </c>
      <c r="U25" s="107" t="s">
        <v>89</v>
      </c>
      <c r="V25" s="94"/>
      <c r="W25" s="94"/>
      <c r="X25" s="99"/>
      <c r="Y25" s="99"/>
      <c r="Z25" s="99"/>
      <c r="AA25" s="99"/>
      <c r="AB25" s="94"/>
      <c r="AC25" s="94"/>
      <c r="AD25" s="99"/>
      <c r="AE25" s="102"/>
      <c r="AF25" s="102"/>
      <c r="AG25" s="102"/>
      <c r="AH25" s="103"/>
      <c r="AI25" s="103"/>
      <c r="AJ25" s="102"/>
      <c r="AK25" s="102"/>
      <c r="AL25" s="102"/>
      <c r="AM25" s="102"/>
      <c r="AN25" s="103"/>
    </row>
    <row r="26" customFormat="false" ht="14.45" hidden="false" customHeight="true" outlineLevel="0" collapsed="false">
      <c r="A26" s="64" t="s">
        <v>41</v>
      </c>
      <c r="B26" s="108" t="s">
        <v>28</v>
      </c>
      <c r="C26" s="108" t="s">
        <v>108</v>
      </c>
      <c r="D26" s="109" t="s">
        <v>109</v>
      </c>
      <c r="E26" s="108" t="s">
        <v>42</v>
      </c>
      <c r="F26" s="90" t="s">
        <v>63</v>
      </c>
      <c r="I26" s="99"/>
      <c r="J26" s="94"/>
      <c r="K26" s="94"/>
      <c r="L26" s="99"/>
      <c r="M26" s="99"/>
      <c r="N26" s="99"/>
      <c r="O26" s="99"/>
      <c r="P26" s="94"/>
      <c r="Q26" s="94"/>
      <c r="R26" s="99"/>
      <c r="S26" s="99"/>
      <c r="T26" s="99"/>
      <c r="U26" s="99"/>
      <c r="V26" s="94"/>
      <c r="W26" s="94"/>
      <c r="X26" s="99"/>
      <c r="Y26" s="99"/>
      <c r="Z26" s="99"/>
      <c r="AA26" s="99"/>
      <c r="AB26" s="94"/>
      <c r="AC26" s="94"/>
      <c r="AD26" s="99"/>
      <c r="AE26" s="102"/>
      <c r="AF26" s="102"/>
      <c r="AG26" s="102"/>
      <c r="AH26" s="103"/>
      <c r="AI26" s="103"/>
      <c r="AJ26" s="102"/>
      <c r="AK26" s="102"/>
      <c r="AL26" s="102"/>
      <c r="AM26" s="102"/>
      <c r="AN26" s="103"/>
    </row>
    <row r="27" customFormat="false" ht="14.45" hidden="false" customHeight="true" outlineLevel="0" collapsed="false">
      <c r="A27" s="64" t="s">
        <v>110</v>
      </c>
      <c r="B27" s="99" t="s">
        <v>15</v>
      </c>
      <c r="C27" s="99" t="s">
        <v>28</v>
      </c>
      <c r="D27" s="94"/>
      <c r="E27" s="94"/>
      <c r="F27" s="99"/>
      <c r="G27" s="99"/>
      <c r="H27" s="99"/>
      <c r="I27" s="99"/>
      <c r="J27" s="94"/>
      <c r="K27" s="94"/>
      <c r="L27" s="99"/>
      <c r="M27" s="99"/>
      <c r="N27" s="99"/>
      <c r="O27" s="99"/>
      <c r="P27" s="94"/>
      <c r="Q27" s="94"/>
      <c r="R27" s="99"/>
      <c r="S27" s="99"/>
      <c r="T27" s="99"/>
      <c r="U27" s="99"/>
      <c r="V27" s="94"/>
      <c r="W27" s="94"/>
      <c r="X27" s="99"/>
      <c r="Y27" s="99"/>
      <c r="Z27" s="99"/>
      <c r="AA27" s="99"/>
      <c r="AB27" s="94"/>
      <c r="AC27" s="94"/>
      <c r="AD27" s="99"/>
      <c r="AE27" s="102"/>
      <c r="AF27" s="102"/>
      <c r="AG27" s="102"/>
      <c r="AH27" s="103"/>
      <c r="AI27" s="103"/>
      <c r="AJ27" s="102"/>
      <c r="AK27" s="102"/>
      <c r="AL27" s="102"/>
      <c r="AM27" s="102"/>
      <c r="AN27" s="103"/>
    </row>
    <row r="28" customFormat="false" ht="14.45" hidden="false" customHeight="true" outlineLevel="0" collapsed="false">
      <c r="B28" s="99"/>
      <c r="C28" s="99"/>
      <c r="D28" s="94"/>
      <c r="E28" s="94"/>
      <c r="F28" s="99" t="s">
        <v>111</v>
      </c>
      <c r="G28" s="99" t="s">
        <v>112</v>
      </c>
      <c r="H28" s="99"/>
      <c r="I28" s="99"/>
      <c r="J28" s="94"/>
      <c r="K28" s="94"/>
      <c r="L28" s="99"/>
      <c r="M28" s="99"/>
      <c r="N28" s="99"/>
      <c r="O28" s="99"/>
      <c r="P28" s="94"/>
      <c r="Q28" s="94"/>
      <c r="R28" s="99"/>
      <c r="S28" s="99"/>
      <c r="T28" s="99"/>
      <c r="U28" s="99"/>
      <c r="V28" s="94"/>
      <c r="W28" s="94"/>
      <c r="X28" s="99"/>
      <c r="Y28" s="99"/>
      <c r="Z28" s="99"/>
      <c r="AA28" s="99"/>
      <c r="AB28" s="94"/>
      <c r="AC28" s="94"/>
      <c r="AD28" s="99"/>
      <c r="AE28" s="102"/>
      <c r="AF28" s="102"/>
      <c r="AG28" s="102"/>
      <c r="AH28" s="103"/>
      <c r="AI28" s="103"/>
      <c r="AJ28" s="102"/>
      <c r="AK28" s="102"/>
      <c r="AL28" s="102"/>
      <c r="AM28" s="102"/>
      <c r="AN28" s="103"/>
    </row>
    <row r="29" customFormat="false" ht="14.45" hidden="false" customHeight="true" outlineLevel="0" collapsed="false">
      <c r="B29" s="99"/>
      <c r="C29" s="99"/>
      <c r="D29" s="94"/>
      <c r="E29" s="94"/>
      <c r="F29" s="99"/>
      <c r="G29" s="99" t="s">
        <v>113</v>
      </c>
      <c r="H29" s="99" t="s">
        <v>114</v>
      </c>
      <c r="I29" s="99"/>
      <c r="J29" s="94"/>
      <c r="K29" s="94"/>
      <c r="L29" s="99"/>
      <c r="M29" s="99"/>
      <c r="N29" s="99"/>
      <c r="O29" s="99"/>
      <c r="P29" s="94"/>
      <c r="Q29" s="94"/>
      <c r="R29" s="99"/>
      <c r="S29" s="99"/>
      <c r="T29" s="99"/>
      <c r="U29" s="99"/>
      <c r="V29" s="94"/>
      <c r="W29" s="94"/>
      <c r="X29" s="99"/>
      <c r="Y29" s="99"/>
      <c r="Z29" s="99"/>
      <c r="AA29" s="99"/>
      <c r="AB29" s="94"/>
      <c r="AC29" s="94"/>
      <c r="AD29" s="99"/>
      <c r="AE29" s="102"/>
      <c r="AF29" s="102"/>
      <c r="AG29" s="102"/>
      <c r="AH29" s="103"/>
      <c r="AI29" s="103"/>
      <c r="AJ29" s="102"/>
      <c r="AK29" s="102"/>
      <c r="AL29" s="102"/>
      <c r="AM29" s="102"/>
      <c r="AN29" s="103"/>
    </row>
    <row r="30" customFormat="false" ht="14.45" hidden="false" customHeight="true" outlineLevel="0" collapsed="false">
      <c r="B30" s="99"/>
      <c r="C30" s="99"/>
      <c r="D30" s="94"/>
      <c r="E30" s="94"/>
      <c r="F30" s="99"/>
      <c r="G30" s="99"/>
      <c r="H30" s="99"/>
      <c r="I30" s="99"/>
      <c r="J30" s="94"/>
      <c r="K30" s="94"/>
      <c r="L30" s="99"/>
      <c r="M30" s="99"/>
      <c r="N30" s="99"/>
      <c r="O30" s="99"/>
      <c r="P30" s="94"/>
      <c r="Q30" s="94"/>
      <c r="R30" s="99"/>
      <c r="S30" s="99"/>
      <c r="T30" s="99"/>
      <c r="U30" s="99"/>
      <c r="V30" s="94"/>
      <c r="W30" s="94"/>
      <c r="X30" s="99"/>
      <c r="Y30" s="99"/>
      <c r="Z30" s="99"/>
      <c r="AA30" s="99"/>
      <c r="AB30" s="94"/>
      <c r="AC30" s="94"/>
      <c r="AD30" s="99"/>
      <c r="AE30" s="102"/>
      <c r="AF30" s="102"/>
      <c r="AG30" s="102"/>
      <c r="AH30" s="103"/>
      <c r="AI30" s="103"/>
      <c r="AJ30" s="102"/>
      <c r="AK30" s="102"/>
      <c r="AL30" s="102"/>
      <c r="AM30" s="102"/>
      <c r="AN30" s="103"/>
    </row>
    <row r="31" s="110" customFormat="true" ht="14.45" hidden="false" customHeight="true" outlineLevel="0" collapsed="false">
      <c r="B31" s="99"/>
      <c r="C31" s="99"/>
      <c r="D31" s="94"/>
      <c r="E31" s="94"/>
      <c r="F31" s="99"/>
      <c r="G31" s="99"/>
      <c r="H31" s="99"/>
      <c r="I31" s="99"/>
      <c r="J31" s="94"/>
      <c r="K31" s="94"/>
      <c r="L31" s="99"/>
      <c r="M31" s="99"/>
      <c r="N31" s="99"/>
      <c r="O31" s="99"/>
      <c r="P31" s="94"/>
      <c r="Q31" s="94"/>
      <c r="R31" s="99"/>
      <c r="S31" s="99"/>
      <c r="T31" s="99"/>
      <c r="U31" s="99"/>
      <c r="V31" s="94"/>
      <c r="W31" s="94"/>
      <c r="X31" s="99"/>
      <c r="Y31" s="99"/>
      <c r="Z31" s="99"/>
      <c r="AA31" s="99"/>
      <c r="AB31" s="94"/>
      <c r="AC31" s="94"/>
      <c r="AD31" s="99"/>
      <c r="AE31" s="102"/>
      <c r="AF31" s="102"/>
      <c r="AG31" s="102"/>
      <c r="AH31" s="103"/>
      <c r="AI31" s="103"/>
      <c r="AJ31" s="102"/>
      <c r="AK31" s="102"/>
      <c r="AL31" s="102"/>
      <c r="AM31" s="102"/>
      <c r="AN31" s="103"/>
      <c r="AO31" s="111"/>
    </row>
    <row r="32" customFormat="false" ht="14.45" hidden="false" customHeight="true" outlineLevel="0" collapsed="false">
      <c r="A32" s="2" t="s">
        <v>115</v>
      </c>
      <c r="B32" s="99"/>
      <c r="C32" s="99"/>
      <c r="D32" s="94"/>
      <c r="E32" s="94"/>
      <c r="F32" s="99"/>
      <c r="G32" s="99"/>
      <c r="H32" s="99"/>
      <c r="I32" s="99"/>
      <c r="J32" s="94"/>
      <c r="K32" s="94"/>
      <c r="L32" s="99"/>
      <c r="M32" s="99"/>
      <c r="N32" s="99"/>
      <c r="O32" s="99"/>
      <c r="P32" s="94"/>
      <c r="Q32" s="94"/>
      <c r="R32" s="99"/>
      <c r="S32" s="99"/>
      <c r="T32" s="99"/>
      <c r="U32" s="99"/>
      <c r="V32" s="94"/>
      <c r="W32" s="94"/>
      <c r="X32" s="99"/>
      <c r="Y32" s="99"/>
      <c r="Z32" s="99"/>
      <c r="AA32" s="99"/>
      <c r="AB32" s="94"/>
      <c r="AC32" s="94"/>
      <c r="AD32" s="99"/>
      <c r="AE32" s="102"/>
      <c r="AF32" s="102"/>
      <c r="AG32" s="102"/>
      <c r="AH32" s="103"/>
      <c r="AI32" s="103"/>
      <c r="AJ32" s="102"/>
      <c r="AK32" s="102"/>
      <c r="AL32" s="102"/>
      <c r="AM32" s="102"/>
      <c r="AN32" s="103"/>
    </row>
    <row r="33" customFormat="false" ht="14.45" hidden="false" customHeight="true" outlineLevel="0" collapsed="false">
      <c r="B33" s="99"/>
      <c r="C33" s="99"/>
      <c r="D33" s="94"/>
      <c r="E33" s="94"/>
      <c r="F33" s="99"/>
      <c r="G33" s="99"/>
      <c r="H33" s="99"/>
      <c r="I33" s="99"/>
      <c r="J33" s="94"/>
      <c r="K33" s="94"/>
      <c r="L33" s="99"/>
      <c r="M33" s="99"/>
      <c r="N33" s="99"/>
      <c r="O33" s="99"/>
      <c r="P33" s="94"/>
      <c r="Q33" s="94"/>
      <c r="R33" s="99"/>
      <c r="S33" s="99"/>
      <c r="T33" s="99"/>
      <c r="U33" s="99"/>
      <c r="V33" s="94"/>
      <c r="W33" s="94"/>
      <c r="X33" s="99"/>
      <c r="Y33" s="99"/>
      <c r="Z33" s="99"/>
      <c r="AA33" s="99"/>
      <c r="AB33" s="94"/>
      <c r="AC33" s="94"/>
      <c r="AD33" s="99"/>
      <c r="AE33" s="102"/>
      <c r="AF33" s="102"/>
      <c r="AG33" s="102"/>
      <c r="AH33" s="103"/>
      <c r="AI33" s="103"/>
      <c r="AJ33" s="102"/>
      <c r="AK33" s="102"/>
      <c r="AL33" s="102"/>
      <c r="AM33" s="102"/>
      <c r="AN33" s="103"/>
    </row>
    <row r="34" customFormat="false" ht="14.45" hidden="false" customHeight="true" outlineLevel="0" collapsed="false">
      <c r="B34" s="99"/>
      <c r="C34" s="99"/>
      <c r="D34" s="94"/>
      <c r="E34" s="94"/>
      <c r="F34" s="99"/>
      <c r="G34" s="99"/>
      <c r="H34" s="99"/>
      <c r="I34" s="99"/>
      <c r="J34" s="94"/>
      <c r="K34" s="94"/>
      <c r="L34" s="99"/>
      <c r="M34" s="99"/>
      <c r="N34" s="99"/>
      <c r="O34" s="99"/>
      <c r="P34" s="94"/>
      <c r="Q34" s="94"/>
      <c r="R34" s="99"/>
      <c r="S34" s="99"/>
      <c r="T34" s="99"/>
      <c r="U34" s="99"/>
      <c r="V34" s="94"/>
      <c r="W34" s="94"/>
      <c r="X34" s="99"/>
      <c r="Y34" s="99"/>
      <c r="Z34" s="99"/>
      <c r="AA34" s="99"/>
      <c r="AB34" s="94"/>
      <c r="AC34" s="94"/>
      <c r="AD34" s="99"/>
      <c r="AE34" s="102"/>
      <c r="AF34" s="102"/>
      <c r="AG34" s="102"/>
      <c r="AH34" s="103"/>
      <c r="AI34" s="103"/>
      <c r="AJ34" s="102"/>
      <c r="AK34" s="102"/>
      <c r="AL34" s="102"/>
      <c r="AM34" s="102"/>
      <c r="AN34" s="103"/>
    </row>
    <row r="35" customFormat="false" ht="14.45" hidden="false" customHeight="true" outlineLevel="0" collapsed="false">
      <c r="B35" s="112" t="s">
        <v>116</v>
      </c>
      <c r="C35" s="113" t="s">
        <v>7</v>
      </c>
      <c r="D35" s="113" t="s">
        <v>117</v>
      </c>
      <c r="E35" s="113"/>
      <c r="F35" s="113"/>
      <c r="G35" s="99"/>
      <c r="H35" s="99"/>
      <c r="I35" s="99"/>
      <c r="J35" s="94"/>
      <c r="K35" s="94"/>
      <c r="L35" s="99"/>
      <c r="M35" s="99"/>
      <c r="N35" s="99"/>
      <c r="O35" s="99"/>
      <c r="P35" s="94"/>
      <c r="Q35" s="94"/>
      <c r="R35" s="99"/>
      <c r="S35" s="99"/>
      <c r="T35" s="99"/>
      <c r="U35" s="99"/>
      <c r="V35" s="94"/>
      <c r="W35" s="94"/>
      <c r="X35" s="99"/>
      <c r="Y35" s="99"/>
      <c r="Z35" s="99"/>
      <c r="AA35" s="99"/>
      <c r="AB35" s="94"/>
      <c r="AC35" s="94"/>
      <c r="AD35" s="99"/>
      <c r="AE35" s="102"/>
      <c r="AF35" s="102"/>
      <c r="AG35" s="102"/>
      <c r="AH35" s="103"/>
      <c r="AI35" s="103"/>
      <c r="AJ35" s="102"/>
      <c r="AK35" s="102"/>
      <c r="AL35" s="102"/>
      <c r="AM35" s="102"/>
      <c r="AN35" s="103"/>
    </row>
    <row r="36" customFormat="false" ht="14.45" hidden="false" customHeight="true" outlineLevel="0" collapsed="false">
      <c r="A36" s="112"/>
      <c r="B36" s="114"/>
      <c r="C36" s="114"/>
      <c r="D36" s="114"/>
      <c r="E36" s="114"/>
      <c r="F36" s="99"/>
      <c r="G36" s="99"/>
      <c r="H36" s="99"/>
      <c r="I36" s="99"/>
      <c r="J36" s="94"/>
      <c r="K36" s="94"/>
      <c r="L36" s="99"/>
      <c r="M36" s="99"/>
      <c r="N36" s="99"/>
      <c r="O36" s="99"/>
      <c r="P36" s="94"/>
      <c r="Q36" s="94"/>
      <c r="R36" s="99"/>
      <c r="S36" s="99"/>
      <c r="T36" s="99"/>
      <c r="U36" s="99"/>
      <c r="V36" s="94"/>
      <c r="W36" s="94"/>
      <c r="X36" s="99"/>
      <c r="Y36" s="99"/>
      <c r="Z36" s="99"/>
      <c r="AA36" s="99"/>
      <c r="AB36" s="94"/>
      <c r="AC36" s="94"/>
      <c r="AD36" s="99"/>
      <c r="AE36" s="102"/>
      <c r="AF36" s="102"/>
      <c r="AG36" s="102"/>
      <c r="AH36" s="103"/>
      <c r="AI36" s="103"/>
      <c r="AJ36" s="102"/>
      <c r="AK36" s="102"/>
      <c r="AL36" s="102"/>
      <c r="AM36" s="102"/>
      <c r="AN36" s="103"/>
    </row>
    <row r="37" customFormat="false" ht="14.45" hidden="false" customHeight="true" outlineLevel="0" collapsed="false">
      <c r="A37" s="112"/>
      <c r="B37" s="113" t="s">
        <v>7</v>
      </c>
      <c r="C37" s="115" t="str">
        <f aca="false">IF(OR('ОЛ ПКУ'!C8="2ТТ и 2ТН",'ОЛ ПКУ'!C8="3ТТ и 2ТН")," ","ЗНОЛП_6")</f>
        <v>ЗНОЛП_6</v>
      </c>
      <c r="D37" s="115" t="str">
        <f aca="false">IF(OR('ОЛ ПКУ'!C8="2ТТ и 2ТН",'ОЛ ПКУ'!C8="3ТТ и 2ТН"),"НОЛП_6","")</f>
        <v/>
      </c>
      <c r="E37" s="115" t="str">
        <f aca="false">IF(OR('ОЛ ПКУ'!C8="2ТТ и 2ТН",'ОЛ ПКУ'!C8="3ТТ и 2ТН")," ","НОЛ.08_6М")</f>
        <v>НОЛ.08_6М</v>
      </c>
      <c r="F37" s="99"/>
      <c r="G37" s="99"/>
      <c r="H37" s="99"/>
      <c r="I37" s="99"/>
      <c r="J37" s="94"/>
      <c r="K37" s="94"/>
      <c r="L37" s="99"/>
      <c r="M37" s="99"/>
      <c r="N37" s="99"/>
      <c r="O37" s="99"/>
      <c r="P37" s="94"/>
      <c r="Q37" s="94"/>
      <c r="R37" s="99"/>
      <c r="S37" s="99"/>
      <c r="T37" s="99"/>
      <c r="U37" s="99"/>
      <c r="V37" s="94"/>
      <c r="W37" s="94"/>
      <c r="X37" s="99"/>
      <c r="Y37" s="99"/>
      <c r="Z37" s="99"/>
      <c r="AA37" s="99"/>
      <c r="AB37" s="94"/>
      <c r="AC37" s="94"/>
      <c r="AD37" s="99"/>
      <c r="AE37" s="102"/>
      <c r="AF37" s="102"/>
      <c r="AG37" s="102"/>
      <c r="AH37" s="103"/>
      <c r="AI37" s="103"/>
      <c r="AJ37" s="102"/>
      <c r="AK37" s="102"/>
      <c r="AL37" s="102"/>
      <c r="AM37" s="102"/>
      <c r="AN37" s="103"/>
    </row>
    <row r="38" customFormat="false" ht="14.45" hidden="false" customHeight="true" outlineLevel="0" collapsed="false">
      <c r="A38" s="112"/>
      <c r="B38" s="113" t="s">
        <v>117</v>
      </c>
      <c r="C38" s="115" t="str">
        <f aca="false">IF(OR('ОЛ ПКУ'!C8="2ТТ и 2ТН",'ОЛ ПКУ'!C8="3ТТ и 2ТН")," ","ЗНОЛП_10")</f>
        <v>ЗНОЛП_10</v>
      </c>
      <c r="D38" s="115" t="str">
        <f aca="false">IF(OR('ОЛ ПКУ'!C8="2ТТ и 2ТН",'ОЛ ПКУ'!C8="3ТТ и 2ТН"),"НОЛП_10","")</f>
        <v/>
      </c>
      <c r="E38" s="115" t="str">
        <f aca="false">IF(OR('ОЛ ПКУ'!C8="2ТТ и 2ТН",'ОЛ ПКУ'!C8="3ТТ и 2ТН")," ","НОЛ.08_10М")</f>
        <v>НОЛ.08_10М</v>
      </c>
      <c r="F38" s="99"/>
      <c r="G38" s="99"/>
      <c r="H38" s="99"/>
      <c r="I38" s="99"/>
      <c r="J38" s="94"/>
      <c r="K38" s="94"/>
      <c r="L38" s="99"/>
      <c r="M38" s="99"/>
      <c r="N38" s="99"/>
      <c r="O38" s="99"/>
      <c r="P38" s="94"/>
      <c r="Q38" s="94"/>
      <c r="R38" s="99"/>
      <c r="S38" s="99"/>
      <c r="T38" s="99"/>
      <c r="U38" s="99"/>
      <c r="V38" s="94"/>
      <c r="W38" s="94"/>
      <c r="X38" s="99"/>
      <c r="Y38" s="99"/>
      <c r="Z38" s="99"/>
      <c r="AA38" s="99"/>
      <c r="AB38" s="94"/>
      <c r="AC38" s="94"/>
      <c r="AD38" s="99"/>
      <c r="AE38" s="102"/>
      <c r="AF38" s="102"/>
      <c r="AG38" s="102"/>
      <c r="AH38" s="103"/>
      <c r="AI38" s="103"/>
      <c r="AJ38" s="102"/>
      <c r="AK38" s="102"/>
      <c r="AL38" s="102"/>
      <c r="AM38" s="102"/>
      <c r="AN38" s="103"/>
    </row>
    <row r="39" customFormat="false" ht="14.45" hidden="false" customHeight="true" outlineLevel="0" collapsed="false">
      <c r="F39" s="99"/>
      <c r="G39" s="99"/>
      <c r="H39" s="99"/>
      <c r="I39" s="99"/>
      <c r="J39" s="94"/>
      <c r="K39" s="94"/>
      <c r="L39" s="99"/>
      <c r="M39" s="99"/>
      <c r="N39" s="99"/>
      <c r="O39" s="99"/>
      <c r="P39" s="94"/>
      <c r="Q39" s="94"/>
      <c r="R39" s="99"/>
      <c r="S39" s="99"/>
      <c r="T39" s="99"/>
      <c r="U39" s="99"/>
      <c r="V39" s="94"/>
      <c r="W39" s="94"/>
      <c r="X39" s="99"/>
      <c r="Y39" s="99"/>
      <c r="Z39" s="99"/>
      <c r="AA39" s="99"/>
      <c r="AB39" s="94"/>
      <c r="AC39" s="94"/>
      <c r="AD39" s="99"/>
      <c r="AE39" s="102"/>
      <c r="AF39" s="102"/>
      <c r="AG39" s="102"/>
      <c r="AH39" s="103"/>
      <c r="AI39" s="103"/>
      <c r="AJ39" s="102"/>
      <c r="AK39" s="102"/>
      <c r="AL39" s="102"/>
      <c r="AM39" s="102"/>
      <c r="AN39" s="103"/>
    </row>
    <row r="40" customFormat="false" ht="14.45" hidden="false" customHeight="true" outlineLevel="0" collapsed="false">
      <c r="B40" s="116" t="s">
        <v>118</v>
      </c>
      <c r="C40" s="99"/>
      <c r="D40" s="94"/>
      <c r="E40" s="94"/>
      <c r="F40" s="99"/>
      <c r="G40" s="99"/>
      <c r="H40" s="99"/>
      <c r="I40" s="99"/>
      <c r="J40" s="94"/>
      <c r="K40" s="94"/>
      <c r="L40" s="99"/>
      <c r="M40" s="99"/>
      <c r="N40" s="99"/>
      <c r="O40" s="99"/>
      <c r="P40" s="94"/>
      <c r="Q40" s="94"/>
      <c r="R40" s="99"/>
      <c r="S40" s="99"/>
      <c r="T40" s="99"/>
      <c r="U40" s="99"/>
      <c r="V40" s="94"/>
      <c r="W40" s="94"/>
      <c r="X40" s="99"/>
      <c r="Y40" s="99"/>
      <c r="Z40" s="99"/>
      <c r="AA40" s="99"/>
      <c r="AB40" s="94"/>
      <c r="AC40" s="94"/>
      <c r="AD40" s="99"/>
      <c r="AE40" s="102"/>
      <c r="AF40" s="102"/>
      <c r="AG40" s="102"/>
      <c r="AH40" s="103"/>
      <c r="AI40" s="103"/>
      <c r="AJ40" s="102"/>
      <c r="AK40" s="102"/>
      <c r="AL40" s="102"/>
      <c r="AM40" s="102"/>
      <c r="AN40" s="103"/>
    </row>
    <row r="41" customFormat="false" ht="14.45" hidden="false" customHeight="true" outlineLevel="0" collapsed="false">
      <c r="B41" s="117" t="s">
        <v>119</v>
      </c>
      <c r="C41" s="118" t="n">
        <v>0.2</v>
      </c>
      <c r="D41" s="118" t="n">
        <v>0.5</v>
      </c>
      <c r="E41" s="118" t="n">
        <v>1</v>
      </c>
      <c r="F41" s="118" t="n">
        <v>3</v>
      </c>
      <c r="H41" s="118" t="n">
        <v>0.2</v>
      </c>
      <c r="I41" s="118" t="n">
        <v>0.5</v>
      </c>
      <c r="J41" s="118" t="n">
        <v>1</v>
      </c>
      <c r="K41" s="118" t="n">
        <v>3</v>
      </c>
      <c r="N41" s="99"/>
      <c r="O41" s="99"/>
      <c r="P41" s="94"/>
      <c r="Q41" s="94"/>
      <c r="R41" s="99"/>
      <c r="S41" s="99"/>
      <c r="T41" s="99"/>
      <c r="U41" s="99"/>
      <c r="V41" s="94"/>
      <c r="W41" s="94"/>
      <c r="X41" s="99"/>
      <c r="Y41" s="99"/>
      <c r="Z41" s="99"/>
      <c r="AA41" s="99"/>
      <c r="AB41" s="94"/>
      <c r="AC41" s="94"/>
      <c r="AD41" s="99"/>
      <c r="AE41" s="102"/>
      <c r="AF41" s="102"/>
      <c r="AG41" s="102"/>
      <c r="AH41" s="103"/>
      <c r="AI41" s="103"/>
      <c r="AJ41" s="102"/>
      <c r="AK41" s="102"/>
      <c r="AL41" s="102"/>
      <c r="AM41" s="102"/>
      <c r="AN41" s="103"/>
    </row>
    <row r="42" customFormat="false" ht="14.45" hidden="false" customHeight="true" outlineLevel="0" collapsed="false">
      <c r="B42" s="115" t="s">
        <v>120</v>
      </c>
      <c r="C42" s="119" t="n">
        <v>50</v>
      </c>
      <c r="D42" s="119" t="n">
        <v>75</v>
      </c>
      <c r="E42" s="119" t="n">
        <v>150</v>
      </c>
      <c r="F42" s="119" t="n">
        <v>300</v>
      </c>
      <c r="G42" s="120"/>
      <c r="H42" s="121"/>
      <c r="I42" s="121"/>
      <c r="J42" s="122"/>
      <c r="K42" s="122" t="n">
        <v>300</v>
      </c>
      <c r="L42" s="121" t="n">
        <v>630</v>
      </c>
      <c r="M42" s="121"/>
      <c r="N42" s="99"/>
      <c r="O42" s="99"/>
      <c r="P42" s="94"/>
      <c r="Q42" s="94"/>
      <c r="R42" s="99"/>
      <c r="S42" s="99"/>
      <c r="T42" s="99"/>
      <c r="U42" s="99"/>
      <c r="V42" s="94"/>
      <c r="W42" s="94"/>
      <c r="X42" s="99"/>
      <c r="Y42" s="99"/>
      <c r="Z42" s="99"/>
      <c r="AA42" s="99"/>
      <c r="AB42" s="94"/>
      <c r="AC42" s="94"/>
      <c r="AD42" s="99"/>
      <c r="AE42" s="102"/>
      <c r="AF42" s="102"/>
      <c r="AG42" s="102"/>
      <c r="AH42" s="103"/>
      <c r="AI42" s="103"/>
      <c r="AJ42" s="102"/>
      <c r="AK42" s="102"/>
      <c r="AL42" s="102"/>
      <c r="AM42" s="102"/>
      <c r="AN42" s="103"/>
    </row>
    <row r="43" customFormat="false" ht="14.45" hidden="false" customHeight="true" outlineLevel="0" collapsed="false">
      <c r="B43" s="115" t="s">
        <v>20</v>
      </c>
      <c r="C43" s="119" t="n">
        <v>30</v>
      </c>
      <c r="D43" s="119" t="n">
        <v>50</v>
      </c>
      <c r="E43" s="119" t="n">
        <v>75</v>
      </c>
      <c r="F43" s="119" t="n">
        <v>200</v>
      </c>
      <c r="G43" s="120"/>
      <c r="H43" s="121"/>
      <c r="I43" s="121"/>
      <c r="J43" s="122"/>
      <c r="K43" s="122" t="n">
        <v>200</v>
      </c>
      <c r="L43" s="121" t="n">
        <v>400</v>
      </c>
      <c r="M43" s="121"/>
      <c r="N43" s="99"/>
      <c r="O43" s="99"/>
      <c r="P43" s="94"/>
      <c r="Q43" s="94"/>
      <c r="R43" s="99"/>
      <c r="S43" s="99"/>
      <c r="T43" s="99"/>
      <c r="U43" s="99"/>
      <c r="V43" s="94"/>
      <c r="W43" s="94"/>
      <c r="X43" s="99"/>
      <c r="Y43" s="99"/>
      <c r="Z43" s="99"/>
      <c r="AA43" s="99"/>
      <c r="AB43" s="94"/>
      <c r="AC43" s="94"/>
      <c r="AD43" s="99"/>
      <c r="AE43" s="102"/>
      <c r="AF43" s="102"/>
      <c r="AG43" s="102"/>
      <c r="AH43" s="103"/>
      <c r="AI43" s="103"/>
      <c r="AJ43" s="102"/>
      <c r="AK43" s="102"/>
      <c r="AL43" s="102"/>
      <c r="AM43" s="102"/>
      <c r="AN43" s="103"/>
    </row>
    <row r="44" customFormat="false" ht="14.45" hidden="false" customHeight="true" outlineLevel="0" collapsed="false">
      <c r="B44" s="115" t="s">
        <v>121</v>
      </c>
      <c r="C44" s="119" t="n">
        <v>30</v>
      </c>
      <c r="D44" s="119" t="n">
        <v>50</v>
      </c>
      <c r="E44" s="119" t="n">
        <v>75</v>
      </c>
      <c r="F44" s="119" t="n">
        <v>200</v>
      </c>
      <c r="G44" s="120"/>
      <c r="H44" s="121"/>
      <c r="I44" s="121"/>
      <c r="J44" s="122"/>
      <c r="K44" s="122"/>
      <c r="L44" s="121" t="n">
        <v>400</v>
      </c>
      <c r="M44" s="121"/>
      <c r="N44" s="99"/>
      <c r="O44" s="99"/>
      <c r="P44" s="94"/>
      <c r="Q44" s="94"/>
      <c r="R44" s="99"/>
      <c r="S44" s="99"/>
      <c r="T44" s="99"/>
      <c r="U44" s="99"/>
      <c r="V44" s="94"/>
      <c r="W44" s="94"/>
      <c r="X44" s="99"/>
      <c r="Y44" s="99"/>
      <c r="Z44" s="99"/>
      <c r="AA44" s="99"/>
      <c r="AB44" s="94"/>
      <c r="AC44" s="94"/>
      <c r="AD44" s="99"/>
      <c r="AE44" s="102"/>
      <c r="AF44" s="102"/>
      <c r="AG44" s="102"/>
      <c r="AH44" s="103"/>
      <c r="AI44" s="103"/>
      <c r="AJ44" s="102"/>
      <c r="AK44" s="102"/>
      <c r="AL44" s="102"/>
      <c r="AM44" s="102"/>
      <c r="AN44" s="103"/>
    </row>
    <row r="45" customFormat="false" ht="14.45" hidden="false" customHeight="true" outlineLevel="0" collapsed="false">
      <c r="B45" s="115" t="s">
        <v>122</v>
      </c>
      <c r="C45" s="119" t="n">
        <v>20</v>
      </c>
      <c r="D45" s="119" t="n">
        <v>50</v>
      </c>
      <c r="E45" s="119" t="n">
        <v>75</v>
      </c>
      <c r="F45" s="119" t="n">
        <v>150</v>
      </c>
      <c r="G45" s="120"/>
      <c r="H45" s="121"/>
      <c r="I45" s="121"/>
      <c r="J45" s="122"/>
      <c r="K45" s="122"/>
      <c r="L45" s="121" t="n">
        <v>400</v>
      </c>
      <c r="M45" s="121"/>
      <c r="N45" s="99"/>
      <c r="O45" s="99"/>
      <c r="P45" s="94"/>
      <c r="Q45" s="94"/>
      <c r="R45" s="99"/>
      <c r="S45" s="99"/>
      <c r="T45" s="99"/>
      <c r="U45" s="99"/>
      <c r="V45" s="94"/>
      <c r="W45" s="94"/>
      <c r="X45" s="99"/>
      <c r="Y45" s="99"/>
      <c r="Z45" s="99"/>
      <c r="AA45" s="99"/>
      <c r="AB45" s="94"/>
      <c r="AC45" s="94"/>
      <c r="AD45" s="99"/>
      <c r="AE45" s="102"/>
      <c r="AF45" s="102"/>
      <c r="AG45" s="102"/>
      <c r="AH45" s="103"/>
      <c r="AI45" s="103"/>
      <c r="AJ45" s="102"/>
      <c r="AK45" s="102"/>
      <c r="AL45" s="102"/>
      <c r="AM45" s="102"/>
      <c r="AN45" s="103"/>
    </row>
    <row r="46" customFormat="false" ht="14.45" hidden="false" customHeight="true" outlineLevel="0" collapsed="false">
      <c r="B46" s="115" t="s">
        <v>123</v>
      </c>
      <c r="C46" s="119" t="n">
        <v>50</v>
      </c>
      <c r="D46" s="119" t="n">
        <v>75</v>
      </c>
      <c r="E46" s="119" t="n">
        <v>150</v>
      </c>
      <c r="F46" s="119" t="n">
        <v>300</v>
      </c>
      <c r="G46" s="120"/>
      <c r="H46" s="121"/>
      <c r="I46" s="121"/>
      <c r="J46" s="122"/>
      <c r="K46" s="122"/>
      <c r="L46" s="121" t="n">
        <v>630</v>
      </c>
      <c r="M46" s="121"/>
      <c r="N46" s="99"/>
      <c r="O46" s="99"/>
      <c r="P46" s="94"/>
      <c r="Q46" s="94"/>
      <c r="R46" s="99"/>
      <c r="S46" s="99"/>
      <c r="T46" s="99"/>
      <c r="U46" s="99"/>
      <c r="V46" s="94"/>
      <c r="W46" s="94"/>
      <c r="X46" s="99"/>
      <c r="Y46" s="99"/>
      <c r="Z46" s="99"/>
      <c r="AA46" s="99"/>
      <c r="AB46" s="94"/>
      <c r="AC46" s="94"/>
      <c r="AD46" s="99"/>
      <c r="AE46" s="102"/>
      <c r="AF46" s="102"/>
      <c r="AG46" s="102"/>
      <c r="AH46" s="103"/>
      <c r="AI46" s="103"/>
      <c r="AJ46" s="102"/>
      <c r="AK46" s="102"/>
      <c r="AL46" s="102"/>
      <c r="AM46" s="102"/>
      <c r="AN46" s="103"/>
    </row>
    <row r="47" customFormat="false" ht="14.45" hidden="false" customHeight="true" outlineLevel="0" collapsed="false">
      <c r="B47" s="115" t="s">
        <v>124</v>
      </c>
      <c r="C47" s="119" t="n">
        <v>30</v>
      </c>
      <c r="D47" s="119" t="n">
        <v>50</v>
      </c>
      <c r="E47" s="119" t="n">
        <v>75</v>
      </c>
      <c r="F47" s="119" t="n">
        <v>200</v>
      </c>
      <c r="G47" s="120"/>
      <c r="H47" s="121"/>
      <c r="I47" s="121"/>
      <c r="J47" s="122"/>
      <c r="K47" s="122"/>
      <c r="L47" s="121" t="n">
        <v>400</v>
      </c>
      <c r="M47" s="121"/>
      <c r="N47" s="99"/>
      <c r="O47" s="99"/>
      <c r="P47" s="94"/>
      <c r="Q47" s="94"/>
      <c r="R47" s="99"/>
      <c r="S47" s="99"/>
      <c r="T47" s="99"/>
      <c r="U47" s="99"/>
      <c r="V47" s="94"/>
      <c r="W47" s="94"/>
      <c r="X47" s="99"/>
      <c r="Y47" s="99"/>
      <c r="Z47" s="99"/>
      <c r="AA47" s="99"/>
      <c r="AB47" s="94"/>
      <c r="AC47" s="94"/>
      <c r="AD47" s="99"/>
      <c r="AE47" s="102"/>
      <c r="AF47" s="102"/>
      <c r="AG47" s="102"/>
      <c r="AH47" s="103"/>
      <c r="AI47" s="103"/>
      <c r="AJ47" s="102"/>
      <c r="AK47" s="102"/>
      <c r="AL47" s="102"/>
      <c r="AM47" s="102"/>
      <c r="AN47" s="103"/>
    </row>
    <row r="48" customFormat="false" ht="34.15" hidden="false" customHeight="true" outlineLevel="0" collapsed="false">
      <c r="B48" s="99"/>
      <c r="C48" s="123" t="s">
        <v>125</v>
      </c>
      <c r="D48" s="123"/>
      <c r="E48" s="123"/>
      <c r="F48" s="123"/>
      <c r="G48" s="99"/>
      <c r="H48" s="123" t="s">
        <v>126</v>
      </c>
      <c r="I48" s="123"/>
      <c r="J48" s="123"/>
      <c r="K48" s="123"/>
      <c r="L48" s="124" t="s">
        <v>127</v>
      </c>
      <c r="M48" s="99"/>
      <c r="N48" s="99"/>
      <c r="O48" s="99"/>
      <c r="P48" s="94"/>
      <c r="Q48" s="94"/>
      <c r="R48" s="99"/>
      <c r="S48" s="99"/>
      <c r="T48" s="99"/>
      <c r="U48" s="99"/>
      <c r="V48" s="94"/>
      <c r="W48" s="94"/>
      <c r="X48" s="99"/>
      <c r="Y48" s="99"/>
      <c r="Z48" s="99"/>
      <c r="AA48" s="99"/>
      <c r="AB48" s="94"/>
      <c r="AC48" s="94"/>
      <c r="AD48" s="99"/>
      <c r="AE48" s="102"/>
      <c r="AF48" s="102"/>
      <c r="AG48" s="102"/>
      <c r="AH48" s="103"/>
      <c r="AI48" s="103"/>
      <c r="AJ48" s="102"/>
      <c r="AK48" s="102"/>
      <c r="AL48" s="102"/>
      <c r="AM48" s="102"/>
      <c r="AN48" s="103"/>
    </row>
    <row r="49" customFormat="false" ht="18.6" hidden="false" customHeight="true" outlineLevel="0" collapsed="false">
      <c r="B49" s="99"/>
      <c r="C49" s="125"/>
      <c r="D49" s="126"/>
      <c r="E49" s="126"/>
      <c r="F49" s="126"/>
      <c r="G49" s="99"/>
      <c r="H49" s="125"/>
      <c r="I49" s="126"/>
      <c r="J49" s="126"/>
      <c r="K49" s="126"/>
      <c r="L49" s="127"/>
      <c r="M49" s="99"/>
      <c r="N49" s="99"/>
      <c r="O49" s="99"/>
      <c r="P49" s="94"/>
      <c r="Q49" s="94"/>
      <c r="R49" s="99"/>
      <c r="S49" s="99"/>
      <c r="T49" s="99"/>
      <c r="U49" s="99"/>
      <c r="V49" s="94"/>
      <c r="W49" s="94"/>
      <c r="X49" s="99"/>
      <c r="Y49" s="99"/>
      <c r="Z49" s="99"/>
      <c r="AA49" s="99"/>
      <c r="AB49" s="94"/>
      <c r="AC49" s="94"/>
      <c r="AD49" s="99"/>
      <c r="AE49" s="102"/>
      <c r="AF49" s="102"/>
      <c r="AG49" s="102"/>
      <c r="AH49" s="103"/>
      <c r="AI49" s="103"/>
      <c r="AJ49" s="102"/>
      <c r="AK49" s="102"/>
      <c r="AL49" s="102"/>
      <c r="AM49" s="102"/>
      <c r="AN49" s="103"/>
    </row>
    <row r="50" customFormat="false" ht="14.45" hidden="false" customHeight="true" outlineLevel="0" collapsed="false">
      <c r="B50" s="108" t="s">
        <v>128</v>
      </c>
      <c r="C50" s="108"/>
      <c r="D50" s="94"/>
      <c r="E50" s="94"/>
      <c r="F50" s="99"/>
      <c r="G50" s="99"/>
      <c r="H50" s="99"/>
      <c r="I50" s="99"/>
      <c r="J50" s="94"/>
      <c r="K50" s="94"/>
      <c r="L50" s="99"/>
      <c r="M50" s="99"/>
      <c r="N50" s="99"/>
      <c r="O50" s="99"/>
      <c r="P50" s="94"/>
      <c r="Q50" s="94"/>
      <c r="R50" s="99"/>
      <c r="S50" s="99"/>
      <c r="T50" s="99"/>
      <c r="U50" s="99"/>
      <c r="V50" s="94"/>
      <c r="W50" s="94"/>
      <c r="X50" s="99"/>
      <c r="Y50" s="99"/>
      <c r="Z50" s="99"/>
      <c r="AA50" s="99"/>
      <c r="AB50" s="94"/>
      <c r="AC50" s="94"/>
      <c r="AD50" s="99"/>
      <c r="AE50" s="102"/>
      <c r="AF50" s="102"/>
      <c r="AG50" s="102"/>
      <c r="AH50" s="103"/>
      <c r="AI50" s="103"/>
      <c r="AJ50" s="102"/>
      <c r="AK50" s="102"/>
      <c r="AL50" s="102"/>
      <c r="AM50" s="102"/>
      <c r="AN50" s="103"/>
    </row>
    <row r="51" customFormat="false" ht="14.45" hidden="false" customHeight="true" outlineLevel="0" collapsed="false">
      <c r="B51" s="121" t="s">
        <v>129</v>
      </c>
      <c r="C51" s="121" t="s">
        <v>130</v>
      </c>
      <c r="D51" s="121" t="s">
        <v>131</v>
      </c>
      <c r="E51" s="94"/>
      <c r="F51" s="99"/>
      <c r="G51" s="99"/>
      <c r="H51" s="99"/>
      <c r="I51" s="99"/>
      <c r="J51" s="94"/>
      <c r="K51" s="94"/>
      <c r="L51" s="99"/>
      <c r="M51" s="99"/>
      <c r="N51" s="99"/>
      <c r="O51" s="99"/>
      <c r="P51" s="94"/>
      <c r="Q51" s="94"/>
      <c r="R51" s="99"/>
      <c r="S51" s="99"/>
      <c r="T51" s="99"/>
      <c r="U51" s="99"/>
      <c r="V51" s="94"/>
      <c r="W51" s="94"/>
      <c r="X51" s="99"/>
      <c r="Y51" s="99"/>
      <c r="Z51" s="99"/>
      <c r="AA51" s="99"/>
      <c r="AB51" s="94"/>
      <c r="AC51" s="94"/>
      <c r="AD51" s="99"/>
      <c r="AE51" s="102"/>
      <c r="AF51" s="102"/>
      <c r="AG51" s="102"/>
      <c r="AH51" s="103"/>
      <c r="AI51" s="103"/>
      <c r="AJ51" s="102"/>
      <c r="AK51" s="102"/>
      <c r="AL51" s="102"/>
      <c r="AM51" s="102"/>
      <c r="AN51" s="103"/>
    </row>
    <row r="52" customFormat="false" ht="14.45" hidden="false" customHeight="true" outlineLevel="0" collapsed="false">
      <c r="B52" s="121" t="n">
        <v>5</v>
      </c>
      <c r="C52" s="121" t="n">
        <v>0.4</v>
      </c>
      <c r="D52" s="121" t="n">
        <v>1</v>
      </c>
    </row>
    <row r="53" customFormat="false" ht="14.45" hidden="false" customHeight="true" outlineLevel="0" collapsed="false">
      <c r="B53" s="122" t="n">
        <v>10</v>
      </c>
      <c r="C53" s="122" t="n">
        <v>0.96</v>
      </c>
      <c r="D53" s="122" t="n">
        <v>2.4</v>
      </c>
    </row>
    <row r="54" customFormat="false" ht="14.45" hidden="false" customHeight="true" outlineLevel="0" collapsed="false">
      <c r="B54" s="122" t="n">
        <v>15</v>
      </c>
      <c r="C54" s="122" t="n">
        <v>0.96</v>
      </c>
      <c r="D54" s="122" t="n">
        <v>2.4</v>
      </c>
    </row>
    <row r="55" customFormat="false" ht="14.45" hidden="false" customHeight="true" outlineLevel="0" collapsed="false">
      <c r="B55" s="121" t="n">
        <v>20</v>
      </c>
      <c r="C55" s="121" t="n">
        <v>1.2</v>
      </c>
      <c r="D55" s="121" t="n">
        <v>3</v>
      </c>
    </row>
    <row r="56" customFormat="false" ht="14.45" hidden="false" customHeight="true" outlineLevel="0" collapsed="false">
      <c r="B56" s="121" t="n">
        <v>30</v>
      </c>
      <c r="C56" s="121" t="n">
        <v>1.9</v>
      </c>
      <c r="D56" s="121" t="n">
        <v>4.8</v>
      </c>
    </row>
    <row r="57" customFormat="false" ht="14.45" hidden="false" customHeight="true" outlineLevel="0" collapsed="false">
      <c r="B57" s="121" t="n">
        <v>40</v>
      </c>
      <c r="C57" s="121" t="n">
        <v>2.5</v>
      </c>
      <c r="D57" s="121" t="n">
        <v>6.2</v>
      </c>
    </row>
    <row r="58" customFormat="false" ht="14.45" hidden="false" customHeight="true" outlineLevel="0" collapsed="false">
      <c r="B58" s="121" t="n">
        <v>50</v>
      </c>
      <c r="C58" s="121" t="n">
        <v>10</v>
      </c>
      <c r="D58" s="121" t="n">
        <v>25.5</v>
      </c>
    </row>
    <row r="59" customFormat="false" ht="14.45" hidden="false" customHeight="true" outlineLevel="0" collapsed="false">
      <c r="B59" s="122" t="n">
        <v>75</v>
      </c>
      <c r="C59" s="122" t="n">
        <v>10</v>
      </c>
      <c r="D59" s="122" t="n">
        <v>25.5</v>
      </c>
    </row>
    <row r="60" customFormat="false" ht="14.45" hidden="false" customHeight="true" outlineLevel="0" collapsed="false">
      <c r="B60" s="122" t="n">
        <v>80</v>
      </c>
      <c r="C60" s="122" t="n">
        <v>10</v>
      </c>
      <c r="D60" s="128" t="n">
        <v>25.5</v>
      </c>
    </row>
    <row r="61" customFormat="false" ht="14.45" hidden="false" customHeight="true" outlineLevel="0" collapsed="false">
      <c r="B61" s="121" t="n">
        <v>100</v>
      </c>
      <c r="C61" s="121" t="n">
        <v>10</v>
      </c>
      <c r="D61" s="121" t="n">
        <v>25.5</v>
      </c>
    </row>
    <row r="62" customFormat="false" ht="14.45" hidden="false" customHeight="true" outlineLevel="0" collapsed="false">
      <c r="B62" s="121" t="n">
        <v>150</v>
      </c>
      <c r="C62" s="121" t="n">
        <v>12.5</v>
      </c>
      <c r="D62" s="121" t="n">
        <v>31.8</v>
      </c>
    </row>
    <row r="63" customFormat="false" ht="14.45" hidden="false" customHeight="true" outlineLevel="0" collapsed="false">
      <c r="B63" s="121" t="n">
        <v>200</v>
      </c>
      <c r="C63" s="121" t="n">
        <v>20</v>
      </c>
      <c r="D63" s="121" t="n">
        <v>51</v>
      </c>
    </row>
    <row r="64" customFormat="false" ht="14.45" hidden="false" customHeight="true" outlineLevel="0" collapsed="false">
      <c r="B64" s="121" t="n">
        <v>300</v>
      </c>
      <c r="C64" s="121" t="n">
        <v>20</v>
      </c>
      <c r="D64" s="121" t="n">
        <v>51</v>
      </c>
    </row>
    <row r="65" customFormat="false" ht="14.45" hidden="false" customHeight="true" outlineLevel="0" collapsed="false">
      <c r="B65" s="122" t="n">
        <v>400</v>
      </c>
      <c r="C65" s="122" t="n">
        <v>32</v>
      </c>
      <c r="D65" s="122" t="n">
        <v>81.7</v>
      </c>
    </row>
    <row r="66" customFormat="false" ht="14.45" hidden="false" customHeight="true" outlineLevel="0" collapsed="false">
      <c r="B66" s="122" t="n">
        <v>500</v>
      </c>
      <c r="C66" s="122" t="n">
        <v>32</v>
      </c>
      <c r="D66" s="122" t="n">
        <v>81.7</v>
      </c>
    </row>
    <row r="67" customFormat="false" ht="14.45" hidden="false" customHeight="true" outlineLevel="0" collapsed="false">
      <c r="B67" s="121" t="n">
        <v>600</v>
      </c>
      <c r="C67" s="121" t="n">
        <v>40</v>
      </c>
      <c r="D67" s="121" t="n">
        <v>102</v>
      </c>
    </row>
    <row r="68" customFormat="false" ht="14.45" hidden="false" customHeight="true" outlineLevel="0" collapsed="false">
      <c r="B68" s="121" t="n">
        <v>750</v>
      </c>
      <c r="C68" s="121" t="n">
        <v>50</v>
      </c>
      <c r="D68" s="121" t="n">
        <v>125</v>
      </c>
    </row>
    <row r="69" customFormat="false" ht="14.45" hidden="false" customHeight="true" outlineLevel="0" collapsed="false">
      <c r="B69" s="121" t="n">
        <v>800</v>
      </c>
      <c r="C69" s="121" t="n">
        <v>50</v>
      </c>
      <c r="D69" s="121" t="n">
        <v>125</v>
      </c>
    </row>
    <row r="70" customFormat="false" ht="14.45" hidden="false" customHeight="true" outlineLevel="0" collapsed="false">
      <c r="B70" s="121" t="n">
        <v>1000</v>
      </c>
      <c r="C70" s="121" t="n">
        <v>50</v>
      </c>
      <c r="D70" s="121" t="n">
        <v>125</v>
      </c>
    </row>
    <row r="74" customFormat="false" ht="14.45" hidden="false" customHeight="true" outlineLevel="0" collapsed="false">
      <c r="A74" s="129" t="s">
        <v>33</v>
      </c>
      <c r="B74" s="90" t="s">
        <v>15</v>
      </c>
      <c r="C74" s="90" t="s">
        <v>28</v>
      </c>
    </row>
    <row r="77" customFormat="false" ht="20.25" hidden="false" customHeight="false" outlineLevel="0" collapsed="false">
      <c r="A77" s="130" t="s">
        <v>132</v>
      </c>
    </row>
    <row r="78" customFormat="false" ht="14.45" hidden="false" customHeight="true" outlineLevel="0" collapsed="false">
      <c r="B78" s="131" t="s">
        <v>133</v>
      </c>
      <c r="C78" s="131" t="s">
        <v>134</v>
      </c>
      <c r="D78" s="131" t="s">
        <v>119</v>
      </c>
      <c r="E78" s="131" t="s">
        <v>135</v>
      </c>
      <c r="F78" s="131" t="s">
        <v>136</v>
      </c>
    </row>
    <row r="79" customFormat="false" ht="14.45" hidden="false" customHeight="true" outlineLevel="0" collapsed="false">
      <c r="B79" s="132"/>
      <c r="C79" s="132"/>
      <c r="D79" s="132"/>
      <c r="E79" s="132"/>
      <c r="F79" s="117"/>
    </row>
    <row r="80" customFormat="false" ht="14.45" hidden="false" customHeight="true" outlineLevel="0" collapsed="false">
      <c r="B80" s="133" t="n">
        <v>1</v>
      </c>
      <c r="C80" s="134" t="s">
        <v>137</v>
      </c>
      <c r="D80" s="134" t="s">
        <v>138</v>
      </c>
      <c r="E80" s="134" t="s">
        <v>139</v>
      </c>
      <c r="F80" s="117" t="str">
        <f aca="false">IF(AND(OR('ОЛ ПКУ'!C13="НОЛП_10",'ОЛ ПКУ'!C13="НОЛП_6"),'ОЛ ПКУ'!O8=2,'ОЛ ПКУ'!N8=2), "ПКУ-10-Н-2","")</f>
        <v/>
      </c>
    </row>
    <row r="81" customFormat="false" ht="14.45" hidden="false" customHeight="true" outlineLevel="0" collapsed="false">
      <c r="B81" s="133" t="n">
        <v>2</v>
      </c>
      <c r="C81" s="134" t="s">
        <v>140</v>
      </c>
      <c r="D81" s="134" t="s">
        <v>141</v>
      </c>
      <c r="E81" s="134" t="s">
        <v>139</v>
      </c>
      <c r="F81" s="117" t="str">
        <f aca="false">IF(AND(OR('ОЛ ПКУ'!C13="ЗНОЛП_10",'ОЛ ПКУ'!C13="ЗНОЛП_6"),'ОЛ ПКУ'!O8=3,'ОЛ ПКУ'!N8=2), "ПКУ-10-3Н-2","")</f>
        <v/>
      </c>
    </row>
    <row r="82" customFormat="false" ht="14.45" hidden="false" customHeight="true" outlineLevel="0" collapsed="false">
      <c r="B82" s="133" t="n">
        <v>3</v>
      </c>
      <c r="C82" s="134" t="s">
        <v>142</v>
      </c>
      <c r="D82" s="134" t="s">
        <v>143</v>
      </c>
      <c r="E82" s="134" t="s">
        <v>139</v>
      </c>
      <c r="F82" s="117" t="str">
        <f aca="false">IF(AND(OR('ОЛ ПКУ'!C13="НОЛ.08_10М",'ОЛ ПКУ'!C13="НОЛ.08_6М"),'ОЛ ПКУ'!O8=3,'ОЛ ПКУ'!N8=2), "ПКУ-10-НОЛ.08-2","")</f>
        <v/>
      </c>
    </row>
    <row r="83" customFormat="false" ht="14.45" hidden="false" customHeight="true" outlineLevel="0" collapsed="false">
      <c r="B83" s="133" t="n">
        <v>4</v>
      </c>
      <c r="C83" s="134" t="s">
        <v>144</v>
      </c>
      <c r="D83" s="134" t="s">
        <v>138</v>
      </c>
      <c r="E83" s="134" t="s">
        <v>145</v>
      </c>
      <c r="F83" s="117" t="str">
        <f aca="false">IF(AND(OR('ОЛ ПКУ'!C13="НОЛП_10",'ОЛ ПКУ'!C13="НОЛП_6"),'ОЛ ПКУ'!O8=2,'ОЛ ПКУ'!N8=3), "ПКУ-10-Н-3","")</f>
        <v/>
      </c>
    </row>
    <row r="84" customFormat="false" ht="14.45" hidden="false" customHeight="true" outlineLevel="0" collapsed="false">
      <c r="B84" s="133" t="n">
        <v>5</v>
      </c>
      <c r="C84" s="134" t="s">
        <v>146</v>
      </c>
      <c r="D84" s="134" t="s">
        <v>141</v>
      </c>
      <c r="E84" s="134" t="s">
        <v>145</v>
      </c>
      <c r="F84" s="117" t="str">
        <f aca="false">IF(AND(OR('ОЛ ПКУ'!C13="ЗНОЛП_10",'ОЛ ПКУ'!C13="ЗНОЛП_6"),'ОЛ ПКУ'!O8=3,'ОЛ ПКУ'!N8=3), "ПКУ-10-3Н-3","")</f>
        <v>ПКУ-10-3Н-3</v>
      </c>
    </row>
    <row r="85" customFormat="false" ht="14.45" hidden="false" customHeight="true" outlineLevel="0" collapsed="false">
      <c r="B85" s="133" t="n">
        <v>6</v>
      </c>
      <c r="C85" s="134" t="s">
        <v>147</v>
      </c>
      <c r="D85" s="134" t="s">
        <v>143</v>
      </c>
      <c r="E85" s="134" t="s">
        <v>145</v>
      </c>
      <c r="F85" s="117" t="str">
        <f aca="false">IF(AND(OR('ОЛ ПКУ'!C13="НОЛ.08_10М",'ОЛ ПКУ'!C13="НОЛ.08_6М"),'ОЛ ПКУ'!O8=3,'ОЛ ПКУ'!N8=3), "ПКУ-10-НОЛ.08-3","")</f>
        <v/>
      </c>
    </row>
    <row r="86" customFormat="false" ht="14.45" hidden="false" customHeight="true" outlineLevel="0" collapsed="false">
      <c r="F86" s="90" t="str">
        <f aca="false">CONCATENATE(F80,F81,F82,F83,F84,F85)</f>
        <v>ПКУ-10-3Н-3</v>
      </c>
      <c r="G86" s="135" t="str">
        <f aca="false">IF(F86="","нестандартная",F86)</f>
        <v>ПКУ-10-3Н-3</v>
      </c>
      <c r="H86" s="136"/>
      <c r="I86" s="137" t="s">
        <v>148</v>
      </c>
    </row>
    <row r="88" customFormat="false" ht="20.25" hidden="false" customHeight="false" outlineLevel="0" collapsed="false">
      <c r="A88" s="130" t="s">
        <v>149</v>
      </c>
      <c r="F88" s="138"/>
    </row>
    <row r="89" customFormat="false" ht="14.45" hidden="false" customHeight="true" outlineLevel="0" collapsed="false">
      <c r="B89" s="139" t="s">
        <v>150</v>
      </c>
      <c r="C89" s="140"/>
      <c r="D89" s="140"/>
      <c r="E89" s="140"/>
      <c r="F89" s="140"/>
      <c r="G89" s="140"/>
      <c r="H89" s="140"/>
    </row>
    <row r="90" customFormat="false" ht="78.6" hidden="false" customHeight="true" outlineLevel="0" collapsed="false">
      <c r="B90" s="139"/>
      <c r="C90" s="141" t="s">
        <v>151</v>
      </c>
      <c r="D90" s="142" t="s">
        <v>152</v>
      </c>
      <c r="E90" s="142" t="s">
        <v>153</v>
      </c>
      <c r="F90" s="142" t="s">
        <v>154</v>
      </c>
      <c r="G90" s="142" t="s">
        <v>155</v>
      </c>
      <c r="H90" s="142" t="s">
        <v>156</v>
      </c>
      <c r="I90" s="90" t="s">
        <v>157</v>
      </c>
    </row>
    <row r="91" customFormat="false" ht="15.75" hidden="false" customHeight="false" outlineLevel="0" collapsed="false">
      <c r="B91" s="133" t="s">
        <v>158</v>
      </c>
      <c r="C91" s="143"/>
      <c r="D91" s="133"/>
      <c r="E91" s="133"/>
      <c r="F91" s="133"/>
      <c r="G91" s="133"/>
      <c r="H91" s="133"/>
      <c r="I91" s="144" t="str">
        <f aca="false">IF(AND('ОЛ ПКУ'!C29="Да",'ОЛ ПКУ'!C32="GSM C-1.02"),"00","")</f>
        <v/>
      </c>
      <c r="J91" s="145"/>
      <c r="K91" s="146" t="s">
        <v>159</v>
      </c>
      <c r="L91" s="147" t="str">
        <f aca="false">'ОЛ ПКУ'!C29</f>
        <v>Да</v>
      </c>
      <c r="M91" s="147"/>
      <c r="N91" s="147"/>
    </row>
    <row r="92" customFormat="false" ht="15.75" hidden="false" customHeight="false" outlineLevel="0" collapsed="false">
      <c r="B92" s="133" t="s">
        <v>160</v>
      </c>
      <c r="C92" s="143"/>
      <c r="D92" s="133"/>
      <c r="E92" s="133"/>
      <c r="F92" s="133"/>
      <c r="G92" s="133"/>
      <c r="H92" s="133"/>
      <c r="I92" s="144" t="str">
        <f aca="false">IF(AND('ОЛ ПКУ'!C29="Да",'ОЛ ПКУ'!C32="GSM TELEOFIS RX108-R4"),"01","")</f>
        <v/>
      </c>
      <c r="J92" s="145"/>
      <c r="K92" s="146" t="s">
        <v>161</v>
      </c>
      <c r="L92" s="147" t="str">
        <f aca="false">'ОЛ ПКУ'!C32</f>
        <v>Встроен в счетчик</v>
      </c>
      <c r="M92" s="147"/>
      <c r="N92" s="147"/>
    </row>
    <row r="93" customFormat="false" ht="14.45" hidden="false" customHeight="true" outlineLevel="0" collapsed="false">
      <c r="B93" s="133" t="s">
        <v>162</v>
      </c>
      <c r="C93" s="143"/>
      <c r="D93" s="133"/>
      <c r="E93" s="133"/>
      <c r="F93" s="133"/>
      <c r="G93" s="133"/>
      <c r="H93" s="133"/>
      <c r="I93" s="144" t="str">
        <f aca="false">IF(AND('ОЛ ПКУ'!C29="Да",'ОЛ ПКУ'!C32="Встроен в счетчик"),"02","")</f>
        <v>02</v>
      </c>
      <c r="J93" s="145"/>
    </row>
    <row r="94" customFormat="false" ht="14.45" hidden="false" customHeight="true" outlineLevel="0" collapsed="false">
      <c r="B94" s="133" t="s">
        <v>163</v>
      </c>
      <c r="C94" s="143"/>
      <c r="D94" s="133"/>
      <c r="E94" s="133"/>
      <c r="F94" s="133"/>
      <c r="G94" s="133"/>
      <c r="H94" s="133"/>
      <c r="I94" s="144" t="str">
        <f aca="false">IF(AND('ОЛ ПКУ'!C29="Да",OR('ОЛ ПКУ'!C32="Нет",'ОЛ ПКУ'!C32="")),"03","")</f>
        <v/>
      </c>
      <c r="J94" s="145"/>
    </row>
    <row r="95" customFormat="false" ht="14.45" hidden="false" customHeight="true" outlineLevel="0" collapsed="false">
      <c r="B95" s="133" t="s">
        <v>164</v>
      </c>
      <c r="C95" s="143"/>
      <c r="D95" s="133"/>
      <c r="E95" s="133"/>
      <c r="F95" s="133"/>
      <c r="G95" s="133"/>
      <c r="H95" s="133"/>
      <c r="I95" s="144" t="str">
        <f aca="false">IF(AND('ОЛ ПКУ'!C29="Нет",OR('ОЛ ПКУ'!C32="Нет",'ОЛ ПКУ'!C32="")),"04","")</f>
        <v/>
      </c>
      <c r="J95" s="145"/>
    </row>
    <row r="96" customFormat="false" ht="14.45" hidden="false" customHeight="true" outlineLevel="0" collapsed="false">
      <c r="B96" s="133" t="s">
        <v>165</v>
      </c>
      <c r="C96" s="143"/>
      <c r="D96" s="133"/>
      <c r="E96" s="133"/>
      <c r="F96" s="133"/>
      <c r="G96" s="133"/>
      <c r="H96" s="133"/>
      <c r="I96" s="144" t="str">
        <f aca="false">IF(AND('ОЛ ПКУ'!C29="Нет",'ОЛ ПКУ'!C32="GSM C-1.02"),"05","")</f>
        <v/>
      </c>
      <c r="J96" s="145"/>
    </row>
    <row r="97" customFormat="false" ht="15.75" hidden="false" customHeight="false" outlineLevel="0" collapsed="false">
      <c r="B97" s="133" t="s">
        <v>166</v>
      </c>
      <c r="C97" s="143"/>
      <c r="D97" s="133"/>
      <c r="E97" s="133"/>
      <c r="F97" s="133"/>
      <c r="G97" s="133"/>
      <c r="H97" s="133"/>
      <c r="I97" s="144" t="str">
        <f aca="false">IF(AND('ОЛ ПКУ'!C29="Нет",'ОЛ ПКУ'!C32="GSM TELEOFIS RX108-R4"),"06","")</f>
        <v/>
      </c>
      <c r="J97" s="145"/>
    </row>
    <row r="98" customFormat="false" ht="15.75" hidden="false" customHeight="false" outlineLevel="0" collapsed="false">
      <c r="B98" s="133" t="s">
        <v>167</v>
      </c>
      <c r="C98" s="143"/>
      <c r="D98" s="133"/>
      <c r="E98" s="133"/>
      <c r="F98" s="133"/>
      <c r="G98" s="133"/>
      <c r="H98" s="133"/>
      <c r="I98" s="144" t="str">
        <f aca="false">IF(AND('ОЛ ПКУ'!C29="Нет",'ОЛ ПКУ'!C32="Встроен в счетчик"),"07","")</f>
        <v/>
      </c>
      <c r="J98" s="145"/>
    </row>
    <row r="99" customFormat="false" ht="15.75" hidden="false" customHeight="false" outlineLevel="0" collapsed="false">
      <c r="B99" s="133"/>
      <c r="C99" s="143"/>
      <c r="D99" s="133"/>
      <c r="E99" s="133"/>
      <c r="F99" s="133"/>
      <c r="G99" s="133"/>
      <c r="H99" s="133"/>
      <c r="I99" s="117" t="str">
        <f aca="false">CONCATENATE(I91,I92,I93,I94,I95,I96,I97,I98)</f>
        <v>02</v>
      </c>
    </row>
    <row r="100" customFormat="false" ht="15.75" hidden="false" customHeight="false" outlineLevel="0" collapsed="false">
      <c r="B100" s="148"/>
      <c r="C100" s="148"/>
      <c r="D100" s="148"/>
      <c r="E100" s="148"/>
      <c r="F100" s="148"/>
      <c r="G100" s="148"/>
      <c r="H100" s="148"/>
    </row>
    <row r="101" customFormat="false" ht="14.45" hidden="false" customHeight="true" outlineLevel="0" collapsed="false">
      <c r="B101" s="148"/>
      <c r="C101" s="148"/>
      <c r="D101" s="148"/>
      <c r="E101" s="148"/>
      <c r="F101" s="148"/>
      <c r="G101" s="148"/>
      <c r="H101" s="148"/>
    </row>
    <row r="102" customFormat="false" ht="14.45" hidden="false" customHeight="true" outlineLevel="0" collapsed="false">
      <c r="F102" s="149" t="s">
        <v>168</v>
      </c>
      <c r="G102" s="90" t="s">
        <v>169</v>
      </c>
    </row>
    <row r="103" customFormat="false" ht="14.45" hidden="false" customHeight="true" outlineLevel="0" collapsed="false">
      <c r="E103" s="150" t="s">
        <v>170</v>
      </c>
      <c r="G103" s="90" t="s">
        <v>171</v>
      </c>
      <c r="K103" s="90" t="str">
        <f aca="false">RIGHT('ОЛ ПКУ'!C31,4)</f>
        <v>ент)</v>
      </c>
    </row>
    <row r="104" customFormat="false" ht="14.45" hidden="false" customHeight="true" outlineLevel="0" collapsed="false">
      <c r="F104" s="90" t="str">
        <f aca="false">IF(AND(I99="02",RIGHT('ОЛ ПКУ'!C31,4)="PВ.G"),"03",IF(AND(I99="07",RIGHT('ОЛ ПКУ'!C31,4)="PВ.G"),"04",IF(I99="","н/ст",I99)))</f>
        <v>02</v>
      </c>
      <c r="G104" s="135" t="str">
        <f aca="false">CONCATENATE("-",F104)</f>
        <v>-02</v>
      </c>
      <c r="H104" s="136"/>
      <c r="I104" s="137" t="s">
        <v>148</v>
      </c>
      <c r="K104" s="90" t="s">
        <v>172</v>
      </c>
    </row>
    <row r="105" customFormat="false" ht="14.45" hidden="false" customHeight="true" outlineLevel="0" collapsed="false">
      <c r="K105" s="90" t="str">
        <f aca="false">IF(AND(I99="02",RIGHT('ОЛ ПКУ'!C31,4)="PВ.G"),"03",I99)</f>
        <v>02</v>
      </c>
    </row>
    <row r="106" customFormat="false" ht="20.25" hidden="false" customHeight="false" outlineLevel="0" collapsed="false">
      <c r="A106" s="130" t="s">
        <v>173</v>
      </c>
      <c r="C106" s="90" t="str">
        <f aca="false">F86</f>
        <v>ПКУ-10-3Н-3</v>
      </c>
      <c r="F106" s="90" t="str">
        <f aca="false">F104</f>
        <v>02</v>
      </c>
      <c r="K106" s="90" t="str">
        <f aca="false">IF(AND(I99="07",RIGHT('ОЛ ПКУ'!C31,4)="PВ.G"),"04",I99)</f>
        <v>02</v>
      </c>
    </row>
    <row r="107" customFormat="false" ht="14.45" hidden="false" customHeight="true" outlineLevel="0" collapsed="false">
      <c r="C107" s="151" t="s">
        <v>174</v>
      </c>
      <c r="F107" s="151" t="s">
        <v>175</v>
      </c>
      <c r="G107" s="151"/>
      <c r="H107" s="151" t="s">
        <v>176</v>
      </c>
    </row>
    <row r="108" customFormat="false" ht="14.45" hidden="false" customHeight="true" outlineLevel="0" collapsed="false">
      <c r="B108" s="152" t="n">
        <v>1</v>
      </c>
      <c r="C108" s="153" t="s">
        <v>177</v>
      </c>
      <c r="D108" s="154" t="s">
        <v>178</v>
      </c>
      <c r="E108" s="155" t="s">
        <v>179</v>
      </c>
      <c r="F108" s="155" t="s">
        <v>180</v>
      </c>
      <c r="G108" s="156" t="s">
        <v>134</v>
      </c>
      <c r="I108" s="117" t="s">
        <v>181</v>
      </c>
      <c r="J108" s="147"/>
    </row>
    <row r="109" customFormat="false" ht="14.45" hidden="false" customHeight="true" outlineLevel="0" collapsed="false">
      <c r="A109" s="157" t="s">
        <v>182</v>
      </c>
      <c r="B109" s="158"/>
      <c r="C109" s="159" t="s">
        <v>183</v>
      </c>
      <c r="D109" s="158" t="s">
        <v>184</v>
      </c>
      <c r="E109" s="160" t="s">
        <v>185</v>
      </c>
      <c r="F109" s="161" t="s">
        <v>186</v>
      </c>
      <c r="G109" s="162" t="s">
        <v>187</v>
      </c>
      <c r="I109" s="163" t="str">
        <f aca="false">IF(AND(F86="ПКУ-10-Н-2",OR(F104="00",F104="01",F104="03",F104="04",F104="05",F104="06"),'ОЛ ПКУ'!K31="СЭ"),G109,"")</f>
        <v/>
      </c>
      <c r="J109" s="147"/>
    </row>
    <row r="110" customFormat="false" ht="14.45" hidden="false" customHeight="true" outlineLevel="0" collapsed="false">
      <c r="B110" s="158"/>
      <c r="C110" s="159"/>
      <c r="D110" s="158"/>
      <c r="E110" s="160"/>
      <c r="F110" s="158" t="s">
        <v>188</v>
      </c>
      <c r="G110" s="162" t="s">
        <v>189</v>
      </c>
      <c r="I110" s="163" t="str">
        <f aca="false">IF(AND(F86="ПКУ-10-Н-2",OR(F104="00",F104="01",F104="03",F104="04",F104="05",F104="06"),'ОЛ ПКУ'!K31="ПС"),G110,"")</f>
        <v/>
      </c>
      <c r="J110" s="147"/>
    </row>
    <row r="111" customFormat="false" ht="14.45" hidden="false" customHeight="true" outlineLevel="0" collapsed="false">
      <c r="A111" s="164" t="s">
        <v>90</v>
      </c>
      <c r="B111" s="158"/>
      <c r="C111" s="159"/>
      <c r="D111" s="158"/>
      <c r="E111" s="160"/>
      <c r="F111" s="158" t="s">
        <v>190</v>
      </c>
      <c r="G111" s="162" t="s">
        <v>191</v>
      </c>
      <c r="I111" s="163" t="str">
        <f aca="false">IF(AND(F86="ПКУ-10-Н-2",OR(F104="00",F104="01",F104="03",F104="04",F104="05",F104="06"),'ОЛ ПКУ'!K31="M2"),G111,"")</f>
        <v/>
      </c>
      <c r="J111" s="147"/>
    </row>
    <row r="112" customFormat="false" ht="14.45" hidden="false" customHeight="true" outlineLevel="0" collapsed="false">
      <c r="A112" s="164" t="s">
        <v>91</v>
      </c>
      <c r="B112" s="158"/>
      <c r="C112" s="159"/>
      <c r="D112" s="158"/>
      <c r="E112" s="160"/>
      <c r="F112" s="158" t="s">
        <v>192</v>
      </c>
      <c r="G112" s="162" t="s">
        <v>193</v>
      </c>
      <c r="I112" s="163" t="str">
        <f aca="false">IF(AND(F86="ПКУ-10-Н-2",OR(F104="00",F104="01",F104="03",F104="04",F104="05",F104="06"),'ОЛ ПКУ'!K31="СE"),G112,"")</f>
        <v/>
      </c>
      <c r="J112" s="147"/>
    </row>
    <row r="113" customFormat="false" ht="14.45" hidden="false" customHeight="true" outlineLevel="0" collapsed="false">
      <c r="A113" s="164" t="s">
        <v>92</v>
      </c>
      <c r="B113" s="158"/>
      <c r="C113" s="159"/>
      <c r="D113" s="158"/>
      <c r="E113" s="160"/>
      <c r="F113" s="158" t="s">
        <v>194</v>
      </c>
      <c r="G113" s="165" t="s">
        <v>195</v>
      </c>
      <c r="I113" s="163" t="str">
        <f aca="false">IF(AND(F86="ПКУ-10-Н-2",OR(F104="00",F104="01",F104="03",F104="04",F104="05",F104="06"),'ОЛ ПКУ'!K31="Др"),G113,"")</f>
        <v/>
      </c>
      <c r="J113" s="147"/>
    </row>
    <row r="114" customFormat="false" ht="14.45" hidden="false" customHeight="true" outlineLevel="0" collapsed="false">
      <c r="A114" s="164" t="s">
        <v>93</v>
      </c>
      <c r="B114" s="158"/>
      <c r="C114" s="159"/>
      <c r="D114" s="158"/>
      <c r="E114" s="160"/>
      <c r="F114" s="166" t="s">
        <v>196</v>
      </c>
      <c r="G114" s="167" t="s">
        <v>197</v>
      </c>
      <c r="I114" s="163"/>
      <c r="J114" s="145"/>
    </row>
    <row r="115" customFormat="false" ht="14.45" hidden="false" customHeight="true" outlineLevel="0" collapsed="false">
      <c r="A115" s="164" t="s">
        <v>94</v>
      </c>
      <c r="B115" s="158"/>
      <c r="C115" s="159"/>
      <c r="D115" s="158"/>
      <c r="E115" s="160"/>
      <c r="F115" s="168" t="s">
        <v>198</v>
      </c>
      <c r="G115" s="169" t="s">
        <v>199</v>
      </c>
      <c r="I115" s="163" t="str">
        <f aca="false">IF(AND(F86="ПКУ-10-Н-2",F104="02",'ОЛ ПКУ'!K31="ПС"),G115,"")</f>
        <v/>
      </c>
      <c r="J115" s="147"/>
    </row>
    <row r="116" customFormat="false" ht="14.45" hidden="false" customHeight="true" outlineLevel="0" collapsed="false">
      <c r="A116" s="164" t="s">
        <v>95</v>
      </c>
      <c r="B116" s="158"/>
      <c r="C116" s="159"/>
      <c r="D116" s="158"/>
      <c r="E116" s="160"/>
      <c r="F116" s="170" t="s">
        <v>200</v>
      </c>
      <c r="G116" s="171" t="s">
        <v>201</v>
      </c>
      <c r="I116" s="163" t="str">
        <f aca="false">IF(AND(F86="ПКУ-10-Н-2",F104="07",'ОЛ ПКУ'!K31="СЭ"),G116,"")</f>
        <v/>
      </c>
      <c r="J116" s="147"/>
    </row>
    <row r="117" customFormat="false" ht="14.45" hidden="false" customHeight="true" outlineLevel="0" collapsed="false">
      <c r="A117" s="164" t="s">
        <v>96</v>
      </c>
      <c r="B117" s="172" t="n">
        <v>2</v>
      </c>
      <c r="C117" s="153" t="s">
        <v>177</v>
      </c>
      <c r="D117" s="154" t="s">
        <v>178</v>
      </c>
      <c r="E117" s="155" t="s">
        <v>179</v>
      </c>
      <c r="F117" s="155" t="s">
        <v>180</v>
      </c>
      <c r="G117" s="173" t="s">
        <v>202</v>
      </c>
      <c r="I117" s="163"/>
    </row>
    <row r="118" customFormat="false" ht="14.45" hidden="false" customHeight="true" outlineLevel="0" collapsed="false">
      <c r="A118" s="164" t="s">
        <v>97</v>
      </c>
      <c r="B118" s="158"/>
      <c r="C118" s="159" t="s">
        <v>203</v>
      </c>
      <c r="D118" s="158" t="s">
        <v>204</v>
      </c>
      <c r="E118" s="160" t="s">
        <v>205</v>
      </c>
      <c r="F118" s="161" t="s">
        <v>186</v>
      </c>
      <c r="G118" s="161"/>
      <c r="I118" s="163"/>
    </row>
    <row r="119" customFormat="false" ht="14.45" hidden="false" customHeight="true" outlineLevel="0" collapsed="false">
      <c r="A119" s="164" t="s">
        <v>98</v>
      </c>
      <c r="B119" s="158"/>
      <c r="C119" s="159"/>
      <c r="D119" s="158"/>
      <c r="E119" s="160"/>
      <c r="F119" s="158" t="s">
        <v>188</v>
      </c>
      <c r="G119" s="162" t="s">
        <v>206</v>
      </c>
      <c r="I119" s="163"/>
    </row>
    <row r="120" customFormat="false" ht="14.45" hidden="false" customHeight="true" outlineLevel="0" collapsed="false">
      <c r="A120" s="164" t="s">
        <v>99</v>
      </c>
      <c r="B120" s="158"/>
      <c r="C120" s="159"/>
      <c r="D120" s="158"/>
      <c r="E120" s="160"/>
      <c r="F120" s="158" t="s">
        <v>190</v>
      </c>
      <c r="G120" s="162" t="s">
        <v>207</v>
      </c>
      <c r="I120" s="163"/>
    </row>
    <row r="121" customFormat="false" ht="14.45" hidden="false" customHeight="true" outlineLevel="0" collapsed="false">
      <c r="A121" s="164" t="s">
        <v>100</v>
      </c>
      <c r="B121" s="158"/>
      <c r="C121" s="159"/>
      <c r="D121" s="158"/>
      <c r="E121" s="160"/>
      <c r="F121" s="158" t="s">
        <v>192</v>
      </c>
      <c r="G121" s="162" t="s">
        <v>208</v>
      </c>
      <c r="I121" s="163"/>
    </row>
    <row r="122" customFormat="false" ht="14.45" hidden="false" customHeight="true" outlineLevel="0" collapsed="false">
      <c r="A122" s="164" t="s">
        <v>101</v>
      </c>
      <c r="B122" s="158"/>
      <c r="C122" s="159"/>
      <c r="D122" s="158"/>
      <c r="E122" s="160"/>
      <c r="F122" s="158" t="s">
        <v>194</v>
      </c>
      <c r="G122" s="162" t="s">
        <v>209</v>
      </c>
      <c r="I122" s="163"/>
    </row>
    <row r="123" customFormat="false" ht="14.45" hidden="false" customHeight="true" outlineLevel="0" collapsed="false">
      <c r="A123" s="164" t="s">
        <v>102</v>
      </c>
      <c r="B123" s="158"/>
      <c r="C123" s="159"/>
      <c r="D123" s="158"/>
      <c r="E123" s="160"/>
      <c r="F123" s="166" t="s">
        <v>196</v>
      </c>
      <c r="G123" s="158"/>
      <c r="I123" s="163"/>
    </row>
    <row r="124" customFormat="false" ht="14.45" hidden="false" customHeight="true" outlineLevel="0" collapsed="false">
      <c r="A124" s="164" t="s">
        <v>103</v>
      </c>
      <c r="B124" s="158"/>
      <c r="C124" s="159"/>
      <c r="D124" s="158"/>
      <c r="E124" s="160"/>
      <c r="F124" s="168" t="s">
        <v>210</v>
      </c>
      <c r="G124" s="169" t="s">
        <v>211</v>
      </c>
      <c r="I124" s="163"/>
    </row>
    <row r="125" customFormat="false" ht="14.45" hidden="false" customHeight="true" outlineLevel="0" collapsed="false">
      <c r="A125" s="164" t="s">
        <v>104</v>
      </c>
      <c r="B125" s="158"/>
      <c r="C125" s="159"/>
      <c r="D125" s="158"/>
      <c r="E125" s="160"/>
      <c r="F125" s="170" t="s">
        <v>200</v>
      </c>
      <c r="G125" s="171" t="s">
        <v>212</v>
      </c>
      <c r="I125" s="163"/>
    </row>
    <row r="126" customFormat="false" ht="14.45" hidden="false" customHeight="true" outlineLevel="0" collapsed="false">
      <c r="A126" s="164" t="s">
        <v>105</v>
      </c>
      <c r="B126" s="174" t="n">
        <v>3</v>
      </c>
      <c r="C126" s="153" t="s">
        <v>177</v>
      </c>
      <c r="D126" s="154" t="s">
        <v>178</v>
      </c>
      <c r="E126" s="155" t="s">
        <v>179</v>
      </c>
      <c r="F126" s="155" t="s">
        <v>180</v>
      </c>
      <c r="G126" s="173" t="s">
        <v>202</v>
      </c>
      <c r="I126" s="163"/>
    </row>
    <row r="127" customFormat="false" ht="14.45" hidden="false" customHeight="true" outlineLevel="0" collapsed="false">
      <c r="A127" s="164" t="s">
        <v>106</v>
      </c>
      <c r="B127" s="158"/>
      <c r="C127" s="159" t="s">
        <v>213</v>
      </c>
      <c r="D127" s="158" t="s">
        <v>214</v>
      </c>
      <c r="E127" s="160" t="s">
        <v>215</v>
      </c>
      <c r="F127" s="161" t="s">
        <v>186</v>
      </c>
      <c r="G127" s="161"/>
      <c r="I127" s="163"/>
    </row>
    <row r="128" customFormat="false" ht="14.45" hidden="false" customHeight="true" outlineLevel="0" collapsed="false">
      <c r="A128" s="164" t="s">
        <v>107</v>
      </c>
      <c r="B128" s="158"/>
      <c r="C128" s="159"/>
      <c r="D128" s="158"/>
      <c r="E128" s="160"/>
      <c r="F128" s="158" t="s">
        <v>188</v>
      </c>
      <c r="G128" s="162" t="s">
        <v>187</v>
      </c>
      <c r="I128" s="163"/>
    </row>
    <row r="129" customFormat="false" ht="14.45" hidden="false" customHeight="true" outlineLevel="0" collapsed="false">
      <c r="A129" s="164" t="s">
        <v>63</v>
      </c>
      <c r="B129" s="158"/>
      <c r="C129" s="159"/>
      <c r="D129" s="158"/>
      <c r="E129" s="160"/>
      <c r="F129" s="158" t="s">
        <v>190</v>
      </c>
      <c r="G129" s="162" t="s">
        <v>189</v>
      </c>
      <c r="I129" s="163"/>
    </row>
    <row r="130" customFormat="false" ht="14.45" hidden="false" customHeight="true" outlineLevel="0" collapsed="false">
      <c r="A130" s="164" t="s">
        <v>89</v>
      </c>
      <c r="B130" s="158"/>
      <c r="C130" s="159"/>
      <c r="D130" s="158"/>
      <c r="E130" s="160"/>
      <c r="F130" s="158" t="s">
        <v>192</v>
      </c>
      <c r="G130" s="162" t="s">
        <v>191</v>
      </c>
      <c r="I130" s="163"/>
    </row>
    <row r="131" customFormat="false" ht="14.45" hidden="false" customHeight="true" outlineLevel="0" collapsed="false">
      <c r="B131" s="158"/>
      <c r="C131" s="159"/>
      <c r="D131" s="158"/>
      <c r="E131" s="160"/>
      <c r="F131" s="158" t="s">
        <v>194</v>
      </c>
      <c r="G131" s="162" t="s">
        <v>193</v>
      </c>
      <c r="I131" s="163"/>
    </row>
    <row r="132" customFormat="false" ht="14.45" hidden="false" customHeight="true" outlineLevel="0" collapsed="false">
      <c r="B132" s="158"/>
      <c r="C132" s="159"/>
      <c r="D132" s="158"/>
      <c r="E132" s="160"/>
      <c r="F132" s="166" t="s">
        <v>196</v>
      </c>
      <c r="G132" s="173"/>
      <c r="I132" s="163"/>
    </row>
    <row r="133" customFormat="false" ht="14.45" hidden="false" customHeight="true" outlineLevel="0" collapsed="false">
      <c r="B133" s="158"/>
      <c r="C133" s="159"/>
      <c r="D133" s="158"/>
      <c r="E133" s="160"/>
      <c r="F133" s="175" t="s">
        <v>216</v>
      </c>
      <c r="G133" s="169" t="s">
        <v>199</v>
      </c>
      <c r="I133" s="163"/>
    </row>
    <row r="134" customFormat="false" ht="14.45" hidden="false" customHeight="true" outlineLevel="0" collapsed="false">
      <c r="B134" s="158"/>
      <c r="C134" s="159"/>
      <c r="D134" s="158"/>
      <c r="E134" s="160"/>
      <c r="F134" s="176" t="s">
        <v>217</v>
      </c>
      <c r="G134" s="169" t="s">
        <v>199</v>
      </c>
      <c r="I134" s="163"/>
    </row>
    <row r="135" customFormat="false" ht="14.45" hidden="false" customHeight="true" outlineLevel="0" collapsed="false">
      <c r="B135" s="158"/>
      <c r="C135" s="159"/>
      <c r="D135" s="158"/>
      <c r="E135" s="160"/>
      <c r="F135" s="177" t="s">
        <v>218</v>
      </c>
      <c r="G135" s="178" t="s">
        <v>201</v>
      </c>
      <c r="I135" s="163"/>
    </row>
    <row r="136" customFormat="false" ht="14.45" hidden="false" customHeight="true" outlineLevel="0" collapsed="false">
      <c r="B136" s="158"/>
      <c r="C136" s="159"/>
      <c r="D136" s="158"/>
      <c r="E136" s="160"/>
      <c r="F136" s="179" t="s">
        <v>219</v>
      </c>
      <c r="G136" s="178" t="s">
        <v>201</v>
      </c>
      <c r="I136" s="163"/>
    </row>
    <row r="137" customFormat="false" ht="14.45" hidden="false" customHeight="true" outlineLevel="0" collapsed="false">
      <c r="B137" s="174" t="n">
        <v>4</v>
      </c>
      <c r="C137" s="153" t="s">
        <v>177</v>
      </c>
      <c r="D137" s="154" t="s">
        <v>178</v>
      </c>
      <c r="E137" s="155" t="s">
        <v>179</v>
      </c>
      <c r="F137" s="155" t="s">
        <v>180</v>
      </c>
      <c r="G137" s="156" t="s">
        <v>202</v>
      </c>
      <c r="I137" s="163"/>
    </row>
    <row r="138" customFormat="false" ht="14.45" hidden="false" customHeight="true" outlineLevel="0" collapsed="false">
      <c r="B138" s="158"/>
      <c r="C138" s="159" t="s">
        <v>220</v>
      </c>
      <c r="D138" s="158" t="s">
        <v>221</v>
      </c>
      <c r="E138" s="160" t="s">
        <v>222</v>
      </c>
      <c r="F138" s="161" t="s">
        <v>186</v>
      </c>
      <c r="G138" s="161"/>
      <c r="I138" s="163"/>
    </row>
    <row r="139" customFormat="false" ht="14.45" hidden="false" customHeight="true" outlineLevel="0" collapsed="false">
      <c r="B139" s="158"/>
      <c r="C139" s="159"/>
      <c r="D139" s="158"/>
      <c r="E139" s="160"/>
      <c r="F139" s="158" t="s">
        <v>188</v>
      </c>
      <c r="G139" s="162" t="s">
        <v>223</v>
      </c>
      <c r="I139" s="163"/>
    </row>
    <row r="140" customFormat="false" ht="14.45" hidden="false" customHeight="true" outlineLevel="0" collapsed="false">
      <c r="B140" s="158"/>
      <c r="C140" s="159"/>
      <c r="D140" s="158"/>
      <c r="E140" s="160"/>
      <c r="F140" s="158" t="s">
        <v>190</v>
      </c>
      <c r="G140" s="162" t="s">
        <v>224</v>
      </c>
      <c r="I140" s="163"/>
    </row>
    <row r="141" customFormat="false" ht="14.45" hidden="false" customHeight="true" outlineLevel="0" collapsed="false">
      <c r="B141" s="158"/>
      <c r="C141" s="159"/>
      <c r="D141" s="158"/>
      <c r="E141" s="160"/>
      <c r="F141" s="158" t="s">
        <v>192</v>
      </c>
      <c r="G141" s="162" t="s">
        <v>225</v>
      </c>
      <c r="I141" s="163"/>
    </row>
    <row r="142" customFormat="false" ht="14.45" hidden="false" customHeight="true" outlineLevel="0" collapsed="false">
      <c r="B142" s="158"/>
      <c r="C142" s="159"/>
      <c r="D142" s="158"/>
      <c r="E142" s="160"/>
      <c r="F142" s="158" t="s">
        <v>194</v>
      </c>
      <c r="G142" s="162" t="s">
        <v>226</v>
      </c>
      <c r="I142" s="163"/>
    </row>
    <row r="143" customFormat="false" ht="14.45" hidden="false" customHeight="true" outlineLevel="0" collapsed="false">
      <c r="B143" s="158"/>
      <c r="C143" s="159"/>
      <c r="D143" s="158"/>
      <c r="E143" s="160"/>
      <c r="F143" s="166" t="s">
        <v>196</v>
      </c>
      <c r="G143" s="158"/>
      <c r="I143" s="163"/>
    </row>
    <row r="144" customFormat="false" ht="14.45" hidden="false" customHeight="true" outlineLevel="0" collapsed="false">
      <c r="B144" s="158"/>
      <c r="C144" s="159"/>
      <c r="D144" s="158"/>
      <c r="E144" s="160"/>
      <c r="F144" s="168" t="s">
        <v>227</v>
      </c>
      <c r="G144" s="169" t="s">
        <v>228</v>
      </c>
      <c r="I144" s="163"/>
    </row>
    <row r="145" customFormat="false" ht="14.45" hidden="false" customHeight="true" outlineLevel="0" collapsed="false">
      <c r="B145" s="158"/>
      <c r="C145" s="159"/>
      <c r="D145" s="158"/>
      <c r="E145" s="160"/>
      <c r="F145" s="170" t="s">
        <v>200</v>
      </c>
      <c r="G145" s="171" t="s">
        <v>229</v>
      </c>
      <c r="I145" s="163"/>
    </row>
    <row r="146" customFormat="false" ht="14.45" hidden="false" customHeight="true" outlineLevel="0" collapsed="false">
      <c r="B146" s="174" t="n">
        <v>5</v>
      </c>
      <c r="C146" s="153" t="s">
        <v>177</v>
      </c>
      <c r="D146" s="154" t="s">
        <v>178</v>
      </c>
      <c r="E146" s="155" t="s">
        <v>179</v>
      </c>
      <c r="F146" s="155" t="s">
        <v>180</v>
      </c>
      <c r="G146" s="173" t="s">
        <v>202</v>
      </c>
      <c r="I146" s="163"/>
    </row>
    <row r="147" customFormat="false" ht="14.45" hidden="false" customHeight="true" outlineLevel="0" collapsed="false">
      <c r="B147" s="158"/>
      <c r="C147" s="159" t="s">
        <v>230</v>
      </c>
      <c r="D147" s="158" t="s">
        <v>231</v>
      </c>
      <c r="E147" s="160" t="s">
        <v>232</v>
      </c>
      <c r="F147" s="161" t="s">
        <v>186</v>
      </c>
      <c r="G147" s="161"/>
      <c r="I147" s="163"/>
    </row>
    <row r="148" customFormat="false" ht="14.45" hidden="false" customHeight="true" outlineLevel="0" collapsed="false">
      <c r="B148" s="158"/>
      <c r="C148" s="159"/>
      <c r="D148" s="158"/>
      <c r="E148" s="160"/>
      <c r="F148" s="158" t="s">
        <v>188</v>
      </c>
      <c r="G148" s="162" t="s">
        <v>233</v>
      </c>
      <c r="I148" s="163"/>
    </row>
    <row r="149" customFormat="false" ht="14.45" hidden="false" customHeight="true" outlineLevel="0" collapsed="false">
      <c r="B149" s="158"/>
      <c r="C149" s="159"/>
      <c r="D149" s="158"/>
      <c r="E149" s="160"/>
      <c r="F149" s="158" t="s">
        <v>190</v>
      </c>
      <c r="G149" s="162" t="s">
        <v>234</v>
      </c>
      <c r="I149" s="163"/>
    </row>
    <row r="150" customFormat="false" ht="14.45" hidden="false" customHeight="true" outlineLevel="0" collapsed="false">
      <c r="B150" s="158"/>
      <c r="C150" s="159"/>
      <c r="D150" s="158"/>
      <c r="E150" s="160"/>
      <c r="F150" s="158" t="s">
        <v>192</v>
      </c>
      <c r="G150" s="162" t="s">
        <v>235</v>
      </c>
      <c r="I150" s="163"/>
    </row>
    <row r="151" customFormat="false" ht="14.45" hidden="false" customHeight="true" outlineLevel="0" collapsed="false">
      <c r="B151" s="158"/>
      <c r="C151" s="159"/>
      <c r="D151" s="158"/>
      <c r="E151" s="160"/>
      <c r="F151" s="158" t="s">
        <v>194</v>
      </c>
      <c r="G151" s="162" t="s">
        <v>236</v>
      </c>
      <c r="I151" s="163"/>
    </row>
    <row r="152" customFormat="false" ht="14.45" hidden="false" customHeight="true" outlineLevel="0" collapsed="false">
      <c r="B152" s="158"/>
      <c r="C152" s="159"/>
      <c r="D152" s="158"/>
      <c r="E152" s="160"/>
      <c r="F152" s="166" t="s">
        <v>196</v>
      </c>
      <c r="G152" s="158"/>
      <c r="I152" s="163"/>
    </row>
    <row r="153" customFormat="false" ht="14.45" hidden="false" customHeight="true" outlineLevel="0" collapsed="false">
      <c r="B153" s="158"/>
      <c r="C153" s="159"/>
      <c r="D153" s="158"/>
      <c r="E153" s="160"/>
      <c r="F153" s="168" t="s">
        <v>210</v>
      </c>
      <c r="G153" s="169" t="s">
        <v>237</v>
      </c>
      <c r="I153" s="163"/>
    </row>
    <row r="154" customFormat="false" ht="14.45" hidden="false" customHeight="true" outlineLevel="0" collapsed="false">
      <c r="B154" s="158"/>
      <c r="C154" s="159"/>
      <c r="D154" s="158"/>
      <c r="E154" s="160"/>
      <c r="F154" s="170" t="s">
        <v>200</v>
      </c>
      <c r="G154" s="171" t="s">
        <v>238</v>
      </c>
      <c r="I154" s="163"/>
    </row>
    <row r="155" customFormat="false" ht="14.45" hidden="false" customHeight="true" outlineLevel="0" collapsed="false">
      <c r="B155" s="174" t="n">
        <v>6</v>
      </c>
      <c r="C155" s="153" t="s">
        <v>177</v>
      </c>
      <c r="D155" s="154" t="s">
        <v>178</v>
      </c>
      <c r="E155" s="155" t="s">
        <v>179</v>
      </c>
      <c r="F155" s="155" t="s">
        <v>180</v>
      </c>
      <c r="G155" s="173" t="s">
        <v>202</v>
      </c>
      <c r="I155" s="163"/>
    </row>
    <row r="156" customFormat="false" ht="14.45" hidden="false" customHeight="true" outlineLevel="0" collapsed="false">
      <c r="B156" s="158"/>
      <c r="C156" s="180" t="s">
        <v>239</v>
      </c>
      <c r="D156" s="158" t="s">
        <v>240</v>
      </c>
      <c r="E156" s="160" t="s">
        <v>241</v>
      </c>
      <c r="F156" s="161" t="s">
        <v>186</v>
      </c>
      <c r="G156" s="161"/>
      <c r="I156" s="163"/>
    </row>
    <row r="157" customFormat="false" ht="14.45" hidden="false" customHeight="true" outlineLevel="0" collapsed="false">
      <c r="B157" s="158"/>
      <c r="C157" s="180"/>
      <c r="D157" s="158"/>
      <c r="E157" s="160"/>
      <c r="F157" s="158" t="s">
        <v>188</v>
      </c>
      <c r="G157" s="162" t="s">
        <v>223</v>
      </c>
      <c r="I157" s="163"/>
    </row>
    <row r="158" customFormat="false" ht="14.45" hidden="false" customHeight="true" outlineLevel="0" collapsed="false">
      <c r="B158" s="158"/>
      <c r="C158" s="180"/>
      <c r="D158" s="158"/>
      <c r="E158" s="160"/>
      <c r="F158" s="158" t="s">
        <v>190</v>
      </c>
      <c r="G158" s="162" t="s">
        <v>224</v>
      </c>
      <c r="I158" s="163"/>
    </row>
    <row r="159" customFormat="false" ht="14.45" hidden="false" customHeight="true" outlineLevel="0" collapsed="false">
      <c r="B159" s="158"/>
      <c r="C159" s="180"/>
      <c r="D159" s="158"/>
      <c r="E159" s="160"/>
      <c r="F159" s="158" t="s">
        <v>192</v>
      </c>
      <c r="G159" s="162" t="s">
        <v>225</v>
      </c>
      <c r="I159" s="163"/>
    </row>
    <row r="160" customFormat="false" ht="14.45" hidden="false" customHeight="true" outlineLevel="0" collapsed="false">
      <c r="B160" s="158"/>
      <c r="C160" s="180"/>
      <c r="D160" s="158"/>
      <c r="E160" s="160"/>
      <c r="F160" s="158" t="s">
        <v>194</v>
      </c>
      <c r="G160" s="162" t="s">
        <v>226</v>
      </c>
      <c r="I160" s="163"/>
    </row>
    <row r="161" customFormat="false" ht="14.45" hidden="false" customHeight="true" outlineLevel="0" collapsed="false">
      <c r="B161" s="158"/>
      <c r="C161" s="180"/>
      <c r="D161" s="158"/>
      <c r="E161" s="160"/>
      <c r="F161" s="166" t="s">
        <v>196</v>
      </c>
      <c r="G161" s="166"/>
      <c r="I161" s="163"/>
    </row>
    <row r="162" customFormat="false" ht="14.45" hidden="false" customHeight="true" outlineLevel="0" collapsed="false">
      <c r="B162" s="158"/>
      <c r="C162" s="180"/>
      <c r="D162" s="158"/>
      <c r="E162" s="160"/>
      <c r="F162" s="175" t="s">
        <v>216</v>
      </c>
      <c r="G162" s="169" t="s">
        <v>228</v>
      </c>
      <c r="I162" s="163"/>
    </row>
    <row r="163" customFormat="false" ht="14.45" hidden="false" customHeight="true" outlineLevel="0" collapsed="false">
      <c r="B163" s="158"/>
      <c r="C163" s="180"/>
      <c r="D163" s="158"/>
      <c r="E163" s="160"/>
      <c r="F163" s="176" t="s">
        <v>217</v>
      </c>
      <c r="G163" s="169" t="s">
        <v>228</v>
      </c>
      <c r="I163" s="163"/>
    </row>
    <row r="164" customFormat="false" ht="14.45" hidden="false" customHeight="true" outlineLevel="0" collapsed="false">
      <c r="B164" s="158"/>
      <c r="C164" s="180"/>
      <c r="D164" s="158"/>
      <c r="E164" s="160"/>
      <c r="F164" s="177" t="s">
        <v>218</v>
      </c>
      <c r="G164" s="178" t="s">
        <v>229</v>
      </c>
      <c r="I164" s="163"/>
    </row>
    <row r="165" customFormat="false" ht="14.45" hidden="false" customHeight="true" outlineLevel="0" collapsed="false">
      <c r="B165" s="166"/>
      <c r="C165" s="181"/>
      <c r="D165" s="166"/>
      <c r="E165" s="182"/>
      <c r="F165" s="179" t="s">
        <v>219</v>
      </c>
      <c r="G165" s="178" t="s">
        <v>229</v>
      </c>
      <c r="I165" s="163"/>
    </row>
    <row r="166" customFormat="false" ht="14.45" hidden="false" customHeight="true" outlineLevel="0" collapsed="false">
      <c r="B166" s="183"/>
      <c r="C166" s="183"/>
      <c r="D166" s="183"/>
      <c r="E166" s="183"/>
      <c r="F166" s="184"/>
      <c r="G166" s="185"/>
      <c r="I166" s="96"/>
    </row>
    <row r="167" customFormat="false" ht="14.45" hidden="false" customHeight="true" outlineLevel="0" collapsed="false">
      <c r="I167" s="90" t="str">
        <f aca="false">CONCATENATE(I109,I110,I111,I112,I113,I114,I115,I116)</f>
        <v/>
      </c>
    </row>
    <row r="168" customFormat="false" ht="14.45" hidden="false" customHeight="true" outlineLevel="0" collapsed="false">
      <c r="I168" s="135" t="str">
        <f aca="false">IF(I167="","нестандартная",I167)</f>
        <v>нестандартная</v>
      </c>
      <c r="J168" s="136"/>
      <c r="K168" s="137" t="s">
        <v>148</v>
      </c>
    </row>
    <row r="173" customFormat="false" ht="14.45" hidden="false" customHeight="true" outlineLevel="0" collapsed="false">
      <c r="A173" s="2" t="s">
        <v>242</v>
      </c>
    </row>
    <row r="174" customFormat="false" ht="14.45" hidden="false" customHeight="true" outlineLevel="0" collapsed="false">
      <c r="A174" s="2" t="s">
        <v>26</v>
      </c>
    </row>
    <row r="175" customFormat="false" ht="14.45" hidden="false" customHeight="true" outlineLevel="0" collapsed="false">
      <c r="A175" s="2" t="s">
        <v>243</v>
      </c>
    </row>
  </sheetData>
  <mergeCells count="5">
    <mergeCell ref="B36:E36"/>
    <mergeCell ref="C48:F48"/>
    <mergeCell ref="H48:K48"/>
    <mergeCell ref="B89:B90"/>
    <mergeCell ref="C89:H89"/>
  </mergeCells>
  <printOptions headings="false" gridLines="false" gridLinesSet="true" horizontalCentered="false" verticalCentered="false"/>
  <pageMargins left="0.275694444444444" right="0.440277777777778" top="0.490277777777778" bottom="0.747916666666667" header="0.511805555555555" footer="0.511805555555555"/>
  <pageSetup paperSize="9" scale="8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36"/>
  <sheetViews>
    <sheetView showFormulas="false" showGridLines="true" showRowColHeaders="true" showZeros="true" rightToLeft="false" tabSelected="false" showOutlineSymbols="true" defaultGridColor="true" view="normal" topLeftCell="A13" colorId="64" zoomScale="130" zoomScaleNormal="130" zoomScalePageLayoutView="95" workbookViewId="0">
      <selection pane="topLeft" activeCell="A34" activeCellId="0" sqref="A34"/>
    </sheetView>
  </sheetViews>
  <sheetFormatPr defaultColWidth="8.72265625" defaultRowHeight="15" zeroHeight="false" outlineLevelRow="0" outlineLevelCol="0"/>
  <cols>
    <col collapsed="false" customWidth="true" hidden="false" outlineLevel="0" max="1" min="1" style="186" width="46.71"/>
    <col collapsed="false" customWidth="true" hidden="false" outlineLevel="0" max="6" min="6" style="0" width="2.57"/>
  </cols>
  <sheetData>
    <row r="1" customFormat="false" ht="18.75" hidden="false" customHeight="false" outlineLevel="0" collapsed="false">
      <c r="A1" s="187" t="s">
        <v>244</v>
      </c>
    </row>
    <row r="2" customFormat="false" ht="15" hidden="false" customHeight="false" outlineLevel="0" collapsed="false">
      <c r="A2" s="188"/>
    </row>
    <row r="3" customFormat="false" ht="15" hidden="false" customHeight="false" outlineLevel="0" collapsed="false">
      <c r="A3" s="189" t="s">
        <v>245</v>
      </c>
      <c r="E3" s="190" t="s">
        <v>246</v>
      </c>
    </row>
    <row r="4" customFormat="false" ht="15" hidden="false" customHeight="false" outlineLevel="0" collapsed="false">
      <c r="A4" s="191" t="s">
        <v>247</v>
      </c>
      <c r="E4" s="190" t="s">
        <v>248</v>
      </c>
    </row>
    <row r="5" customFormat="false" ht="15" hidden="false" customHeight="false" outlineLevel="0" collapsed="false">
      <c r="A5" s="191" t="s">
        <v>249</v>
      </c>
    </row>
    <row r="6" customFormat="false" ht="15" hidden="false" customHeight="false" outlineLevel="0" collapsed="false">
      <c r="A6" s="189"/>
    </row>
    <row r="7" customFormat="false" ht="15.75" hidden="false" customHeight="false" outlineLevel="0" collapsed="false">
      <c r="A7" s="192" t="s">
        <v>250</v>
      </c>
    </row>
    <row r="8" customFormat="false" ht="15.75" hidden="false" customHeight="false" outlineLevel="0" collapsed="false">
      <c r="A8" s="193" t="s">
        <v>251</v>
      </c>
      <c r="B8" s="194"/>
      <c r="C8" s="194"/>
    </row>
    <row r="9" customFormat="false" ht="15.75" hidden="false" customHeight="false" outlineLevel="0" collapsed="false">
      <c r="A9" s="193"/>
      <c r="B9" s="195"/>
      <c r="C9" s="195"/>
    </row>
    <row r="10" customFormat="false" ht="15.75" hidden="false" customHeight="false" outlineLevel="0" collapsed="false">
      <c r="A10" s="196" t="s">
        <v>252</v>
      </c>
      <c r="B10" s="197" t="str">
        <f aca="false">'ОЛ ПКУ'!C1</f>
        <v>АО «РСК»</v>
      </c>
      <c r="C10" s="198"/>
      <c r="D10" s="198"/>
      <c r="E10" s="199"/>
      <c r="F10" s="200"/>
    </row>
    <row r="11" customFormat="false" ht="15.75" hidden="false" customHeight="false" outlineLevel="0" collapsed="false">
      <c r="A11" s="201" t="s">
        <v>253</v>
      </c>
      <c r="B11" s="202" t="n">
        <f aca="false">'ОЛ ПКУ'!C2</f>
        <v>0</v>
      </c>
      <c r="C11" s="203"/>
      <c r="D11" s="203"/>
      <c r="E11" s="204"/>
      <c r="F11" s="200"/>
    </row>
    <row r="12" customFormat="false" ht="15.75" hidden="false" customHeight="false" outlineLevel="0" collapsed="false">
      <c r="A12" s="201" t="s">
        <v>254</v>
      </c>
      <c r="B12" s="205" t="n">
        <f aca="false">'ОЛ ПКУ'!C3</f>
        <v>0</v>
      </c>
      <c r="C12" s="205"/>
      <c r="D12" s="205"/>
      <c r="E12" s="205"/>
      <c r="F12" s="200"/>
    </row>
    <row r="13" customFormat="false" ht="15.75" hidden="false" customHeight="false" outlineLevel="0" collapsed="false">
      <c r="A13" s="206" t="s">
        <v>255</v>
      </c>
      <c r="B13" s="207" t="n">
        <f aca="false">'ОЛ ПКУ'!C4</f>
        <v>0</v>
      </c>
      <c r="C13" s="208"/>
      <c r="D13" s="208"/>
      <c r="E13" s="209"/>
      <c r="F13" s="200"/>
    </row>
    <row r="14" customFormat="false" ht="15" hidden="false" customHeight="false" outlineLevel="0" collapsed="false">
      <c r="A14" s="210"/>
    </row>
    <row r="15" customFormat="false" ht="15.6" hidden="false" customHeight="true" outlineLevel="0" collapsed="false">
      <c r="A15" s="211" t="s">
        <v>256</v>
      </c>
      <c r="B15" s="212" t="s">
        <v>257</v>
      </c>
      <c r="C15" s="212"/>
      <c r="D15" s="212"/>
      <c r="E15" s="212"/>
    </row>
    <row r="16" customFormat="false" ht="15.6" hidden="false" customHeight="true" outlineLevel="0" collapsed="false">
      <c r="A16" s="213" t="s">
        <v>258</v>
      </c>
      <c r="B16" s="214" t="str">
        <f aca="false">"ТПОЛ-10 III-"&amp;IF(B25="0,2",IF(B23&lt;100,"3.2-1","1.2-1"),IF(B25="0,2S",IF(B23&lt;100,"3.2-1","1.2-1"),IF(B23&lt;50,"3.2-1","1.2-1")))&amp;"-"&amp;B25&amp;"-"&amp;B23&amp;"/"&amp;B24&amp;" УХЛ1"</f>
        <v>ТПОЛ-10 III-1.2-1-0,5S-200/5 УХЛ1</v>
      </c>
      <c r="C16" s="214"/>
      <c r="D16" s="214"/>
      <c r="E16" s="214"/>
    </row>
    <row r="17" customFormat="false" ht="15.6" hidden="false" customHeight="true" outlineLevel="0" collapsed="false">
      <c r="A17" s="213" t="s">
        <v>259</v>
      </c>
      <c r="B17" s="214" t="n">
        <f aca="false">'ОЛ ПКУ'!N8</f>
        <v>3</v>
      </c>
      <c r="C17" s="214"/>
      <c r="D17" s="214"/>
      <c r="E17" s="214"/>
    </row>
    <row r="18" customFormat="false" ht="15.6" hidden="false" customHeight="true" outlineLevel="0" collapsed="false">
      <c r="A18" s="213" t="s">
        <v>260</v>
      </c>
      <c r="B18" s="214" t="s">
        <v>261</v>
      </c>
      <c r="C18" s="214"/>
      <c r="D18" s="214"/>
      <c r="E18" s="214"/>
    </row>
    <row r="19" customFormat="false" ht="15.6" hidden="false" customHeight="true" outlineLevel="0" collapsed="false">
      <c r="A19" s="213" t="s">
        <v>262</v>
      </c>
      <c r="B19" s="214" t="n">
        <v>10</v>
      </c>
      <c r="C19" s="214"/>
      <c r="D19" s="214"/>
      <c r="E19" s="214"/>
    </row>
    <row r="20" customFormat="false" ht="15.6" hidden="false" customHeight="true" outlineLevel="0" collapsed="false">
      <c r="A20" s="213" t="s">
        <v>263</v>
      </c>
      <c r="B20" s="214" t="n">
        <v>12</v>
      </c>
      <c r="C20" s="214"/>
      <c r="D20" s="214"/>
      <c r="E20" s="214"/>
    </row>
    <row r="21" customFormat="false" ht="15.6" hidden="false" customHeight="true" outlineLevel="0" collapsed="false">
      <c r="A21" s="213" t="s">
        <v>264</v>
      </c>
      <c r="B21" s="214" t="n">
        <v>50</v>
      </c>
      <c r="C21" s="214"/>
      <c r="D21" s="214"/>
      <c r="E21" s="214"/>
    </row>
    <row r="22" customFormat="false" ht="15.6" hidden="false" customHeight="true" outlineLevel="0" collapsed="false">
      <c r="A22" s="213"/>
      <c r="B22" s="215" t="s">
        <v>265</v>
      </c>
      <c r="C22" s="216" t="s">
        <v>266</v>
      </c>
      <c r="D22" s="216" t="s">
        <v>267</v>
      </c>
      <c r="E22" s="217" t="s">
        <v>268</v>
      </c>
    </row>
    <row r="23" customFormat="false" ht="15.6" hidden="false" customHeight="true" outlineLevel="0" collapsed="false">
      <c r="A23" s="213" t="s">
        <v>269</v>
      </c>
      <c r="B23" s="218" t="n">
        <f aca="false">IF('ОЛ ПКУ'!C18="Другой",'ОЛ ПКУ'!O18,'ОЛ ПКУ'!C18)</f>
        <v>200</v>
      </c>
      <c r="C23" s="216"/>
      <c r="D23" s="216"/>
      <c r="E23" s="217"/>
    </row>
    <row r="24" customFormat="false" ht="15.6" hidden="false" customHeight="true" outlineLevel="0" collapsed="false">
      <c r="A24" s="213" t="s">
        <v>270</v>
      </c>
      <c r="B24" s="219" t="n">
        <f aca="false">IF(B23&lt;5,1,5)</f>
        <v>5</v>
      </c>
      <c r="C24" s="216"/>
      <c r="D24" s="216"/>
      <c r="E24" s="217"/>
    </row>
    <row r="25" customFormat="false" ht="15.6" hidden="false" customHeight="true" outlineLevel="0" collapsed="false">
      <c r="A25" s="213" t="s">
        <v>271</v>
      </c>
      <c r="B25" s="218" t="str">
        <f aca="false">'ОЛ ПКУ'!C19</f>
        <v>0,5S</v>
      </c>
      <c r="C25" s="216"/>
      <c r="D25" s="216"/>
      <c r="E25" s="217"/>
    </row>
    <row r="26" customFormat="false" ht="15.6" hidden="false" customHeight="true" outlineLevel="0" collapsed="false">
      <c r="A26" s="213" t="s">
        <v>272</v>
      </c>
      <c r="B26" s="219" t="n">
        <f aca="false">IF(B23&lt;5,1,3)</f>
        <v>3</v>
      </c>
      <c r="C26" s="216"/>
      <c r="D26" s="216"/>
      <c r="E26" s="217"/>
    </row>
    <row r="27" customFormat="false" ht="25.5" hidden="false" customHeight="false" outlineLevel="0" collapsed="false">
      <c r="A27" s="213" t="s">
        <v>273</v>
      </c>
      <c r="B27" s="219"/>
      <c r="C27" s="216"/>
      <c r="D27" s="216"/>
      <c r="E27" s="217"/>
    </row>
    <row r="28" customFormat="false" ht="25.5" hidden="false" customHeight="false" outlineLevel="0" collapsed="false">
      <c r="A28" s="213" t="s">
        <v>274</v>
      </c>
      <c r="B28" s="219"/>
      <c r="C28" s="216"/>
      <c r="D28" s="216"/>
      <c r="E28" s="217"/>
    </row>
    <row r="29" customFormat="false" ht="15" hidden="false" customHeight="false" outlineLevel="0" collapsed="false">
      <c r="A29" s="213" t="s">
        <v>275</v>
      </c>
      <c r="B29" s="214" t="n">
        <f aca="false">VLOOKUP('ОЛ ПКУ'!C18,Список!B52:D70,2)</f>
        <v>20</v>
      </c>
      <c r="C29" s="214"/>
      <c r="D29" s="214"/>
      <c r="E29" s="214"/>
    </row>
    <row r="30" customFormat="false" ht="15" hidden="false" customHeight="false" outlineLevel="0" collapsed="false">
      <c r="A30" s="213" t="s">
        <v>276</v>
      </c>
      <c r="B30" s="214" t="n">
        <f aca="false">VLOOKUP('ОЛ ПКУ'!C18,Список!B52:D70,3)</f>
        <v>51</v>
      </c>
      <c r="C30" s="214"/>
      <c r="D30" s="214"/>
      <c r="E30" s="214"/>
    </row>
    <row r="31" customFormat="false" ht="15.75" hidden="false" customHeight="false" outlineLevel="0" collapsed="false">
      <c r="A31" s="220"/>
    </row>
    <row r="32" customFormat="false" ht="15" hidden="false" customHeight="false" outlineLevel="0" collapsed="false">
      <c r="A32" s="221"/>
    </row>
    <row r="33" customFormat="false" ht="15" hidden="false" customHeight="false" outlineLevel="0" collapsed="false">
      <c r="A33" s="222"/>
      <c r="D33" s="223"/>
    </row>
    <row r="34" customFormat="false" ht="15" hidden="false" customHeight="false" outlineLevel="0" collapsed="false">
      <c r="A34" s="222"/>
    </row>
    <row r="35" customFormat="false" ht="15" hidden="false" customHeight="false" outlineLevel="0" collapsed="false">
      <c r="A35" s="224"/>
      <c r="B35" s="225"/>
      <c r="C35" s="225"/>
      <c r="D35" s="225"/>
      <c r="E35" s="225"/>
      <c r="F35" s="225"/>
    </row>
    <row r="36" customFormat="false" ht="15" hidden="false" customHeight="false" outlineLevel="0" collapsed="false">
      <c r="A36" s="224" t="str">
        <f aca="false">'ОЛ ПКУ'!C1</f>
        <v>АО «РСК»</v>
      </c>
      <c r="C36" s="226"/>
      <c r="D36" s="226"/>
      <c r="E36" s="226"/>
      <c r="F36" s="225"/>
    </row>
  </sheetData>
  <mergeCells count="11">
    <mergeCell ref="B8:C8"/>
    <mergeCell ref="B12:E12"/>
    <mergeCell ref="B15:E15"/>
    <mergeCell ref="B16:E16"/>
    <mergeCell ref="B17:E17"/>
    <mergeCell ref="B18:E18"/>
    <mergeCell ref="B19:E19"/>
    <mergeCell ref="B20:E20"/>
    <mergeCell ref="B21:E21"/>
    <mergeCell ref="B29:E29"/>
    <mergeCell ref="B30:E30"/>
  </mergeCells>
  <hyperlinks>
    <hyperlink ref="A4" r:id="rId1" display="http://www.cztt.ru "/>
    <hyperlink ref="B13" r:id="rId2" display="mailto:bez100@yandex.ru"/>
  </hyperlinks>
  <printOptions headings="false" gridLines="false" gridLinesSet="true" horizontalCentered="false" verticalCentered="false"/>
  <pageMargins left="0.7" right="0.75625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39"/>
  <sheetViews>
    <sheetView showFormulas="false" showGridLines="true" showRowColHeaders="true" showZeros="true" rightToLeft="false" tabSelected="false" showOutlineSymbols="true" defaultGridColor="true" view="normal" topLeftCell="A23" colorId="64" zoomScale="130" zoomScaleNormal="130" zoomScalePageLayoutView="95" workbookViewId="0">
      <selection pane="topLeft" activeCell="A44" activeCellId="0" sqref="A44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62.99"/>
    <col collapsed="false" customWidth="true" hidden="false" outlineLevel="0" max="2" min="2" style="0" width="19.99"/>
    <col collapsed="false" customWidth="true" hidden="false" outlineLevel="0" max="4" min="3" style="0" width="4.29"/>
  </cols>
  <sheetData>
    <row r="1" customFormat="false" ht="18.75" hidden="false" customHeight="false" outlineLevel="0" collapsed="false">
      <c r="A1" s="227" t="s">
        <v>244</v>
      </c>
    </row>
    <row r="2" customFormat="false" ht="15" hidden="false" customHeight="false" outlineLevel="0" collapsed="false">
      <c r="A2" s="228"/>
    </row>
    <row r="3" customFormat="false" ht="15" hidden="false" customHeight="false" outlineLevel="0" collapsed="false">
      <c r="A3" s="229" t="s">
        <v>245</v>
      </c>
      <c r="B3" s="190"/>
    </row>
    <row r="4" customFormat="false" ht="15" hidden="false" customHeight="false" outlineLevel="0" collapsed="false">
      <c r="A4" s="230" t="s">
        <v>277</v>
      </c>
      <c r="B4" s="190"/>
    </row>
    <row r="5" customFormat="false" ht="15" hidden="false" customHeight="false" outlineLevel="0" collapsed="false">
      <c r="A5" s="230" t="s">
        <v>249</v>
      </c>
    </row>
    <row r="6" customFormat="false" ht="15" hidden="false" customHeight="false" outlineLevel="0" collapsed="false">
      <c r="A6" s="231"/>
    </row>
    <row r="7" customFormat="false" ht="15.75" hidden="false" customHeight="false" outlineLevel="0" collapsed="false">
      <c r="A7" s="192" t="s">
        <v>250</v>
      </c>
    </row>
    <row r="8" customFormat="false" ht="15.75" hidden="false" customHeight="false" outlineLevel="0" collapsed="false">
      <c r="A8" s="193" t="s">
        <v>278</v>
      </c>
      <c r="B8" s="195"/>
      <c r="C8" s="195"/>
    </row>
    <row r="9" customFormat="false" ht="15.75" hidden="false" customHeight="false" outlineLevel="0" collapsed="false">
      <c r="A9" s="232"/>
    </row>
    <row r="10" customFormat="false" ht="15.75" hidden="false" customHeight="false" outlineLevel="0" collapsed="false">
      <c r="A10" s="232"/>
    </row>
    <row r="11" customFormat="false" ht="15" hidden="false" customHeight="false" outlineLevel="0" collapsed="false">
      <c r="A11" s="233" t="str">
        <f aca="false">'ОЛ ПКУ'!C1</f>
        <v>АО «РСК»</v>
      </c>
      <c r="B11" s="234" t="s">
        <v>252</v>
      </c>
      <c r="C11" s="234"/>
    </row>
    <row r="12" customFormat="false" ht="15" hidden="false" customHeight="false" outlineLevel="0" collapsed="false">
      <c r="A12" s="235" t="n">
        <f aca="false">'ОЛ ПКУ'!C2</f>
        <v>0</v>
      </c>
      <c r="B12" s="236" t="s">
        <v>253</v>
      </c>
      <c r="C12" s="236"/>
    </row>
    <row r="13" customFormat="false" ht="15" hidden="false" customHeight="false" outlineLevel="0" collapsed="false">
      <c r="A13" s="235" t="n">
        <f aca="false">'ОЛ ПКУ'!C3</f>
        <v>0</v>
      </c>
      <c r="B13" s="236" t="s">
        <v>254</v>
      </c>
      <c r="C13" s="236"/>
    </row>
    <row r="14" customFormat="false" ht="15" hidden="false" customHeight="false" outlineLevel="0" collapsed="false">
      <c r="A14" s="235" t="n">
        <f aca="false">'ОЛ ПКУ'!C4</f>
        <v>0</v>
      </c>
      <c r="B14" s="237" t="s">
        <v>279</v>
      </c>
      <c r="C14" s="237"/>
    </row>
    <row r="15" customFormat="false" ht="15" hidden="false" customHeight="false" outlineLevel="0" collapsed="false">
      <c r="A15" s="238"/>
      <c r="B15" s="191"/>
      <c r="C15" s="239"/>
    </row>
    <row r="16" customFormat="false" ht="15" hidden="false" customHeight="false" outlineLevel="0" collapsed="false">
      <c r="A16" s="240"/>
      <c r="B16" s="241"/>
      <c r="C16" s="239"/>
    </row>
    <row r="17" customFormat="false" ht="19.9" hidden="false" customHeight="true" outlineLevel="0" collapsed="false">
      <c r="A17" s="242" t="s">
        <v>256</v>
      </c>
      <c r="B17" s="243"/>
    </row>
    <row r="18" customFormat="false" ht="19.9" hidden="false" customHeight="true" outlineLevel="0" collapsed="false">
      <c r="A18" s="244" t="s">
        <v>258</v>
      </c>
      <c r="B18" s="214" t="str">
        <f aca="false">'ОЛ ПКУ'!C13</f>
        <v>ЗНОЛП_6</v>
      </c>
      <c r="C18" s="245"/>
    </row>
    <row r="19" customFormat="false" ht="19.9" hidden="false" customHeight="true" outlineLevel="0" collapsed="false">
      <c r="A19" s="244" t="s">
        <v>259</v>
      </c>
      <c r="B19" s="246" t="n">
        <f aca="false">'ОЛ ПКУ'!O8</f>
        <v>3</v>
      </c>
      <c r="C19" s="245"/>
    </row>
    <row r="20" customFormat="false" ht="19.9" hidden="false" customHeight="true" outlineLevel="0" collapsed="false">
      <c r="A20" s="244" t="s">
        <v>260</v>
      </c>
      <c r="B20" s="246" t="s">
        <v>280</v>
      </c>
      <c r="D20" s="245"/>
    </row>
    <row r="21" customFormat="false" ht="19.9" hidden="false" customHeight="true" outlineLevel="0" collapsed="false">
      <c r="A21" s="244" t="s">
        <v>281</v>
      </c>
      <c r="B21" s="246" t="n">
        <f aca="false">'ОЛ ПКУ'!C14</f>
        <v>6.3</v>
      </c>
      <c r="C21" s="245"/>
    </row>
    <row r="22" customFormat="false" ht="19.9" hidden="false" customHeight="true" outlineLevel="0" collapsed="false">
      <c r="A22" s="244" t="s">
        <v>282</v>
      </c>
      <c r="B22" s="246" t="str">
        <f aca="false">IF('ОЛ ТН'!B18="ЗНОЛП_6",(('ОЛ ПКУ'!C14)*1000)&amp;"/√3",IF('ОЛ ТН'!B18="ЗНОЛП_10",(('ОЛ ПКУ'!C14)*1000)&amp;"/√3",('ОЛ ПКУ'!C14)*1000))</f>
        <v>6300/√3</v>
      </c>
      <c r="C22" s="245"/>
    </row>
    <row r="23" customFormat="false" ht="19.9" hidden="false" customHeight="true" outlineLevel="0" collapsed="false">
      <c r="A23" s="244" t="s">
        <v>283</v>
      </c>
      <c r="B23" s="246" t="str">
        <f aca="false">IF('ОЛ ТН'!B18="ЗНОЛП_6","100/√3",IF('ОЛ ТН'!B18="ЗНОЛП_10","100/√3",100))</f>
        <v>100/√3</v>
      </c>
      <c r="C23" s="245"/>
    </row>
    <row r="24" customFormat="false" ht="19.9" hidden="false" customHeight="true" outlineLevel="0" collapsed="false">
      <c r="A24" s="244" t="s">
        <v>284</v>
      </c>
      <c r="B24" s="246" t="str">
        <f aca="false">IF('ОЛ ТН'!B18="ЗНОЛП_6","100/3",IF('ОЛ ТН'!B18="ЗНОЛП_10","100/3","----"))</f>
        <v>100/3</v>
      </c>
      <c r="C24" s="245"/>
    </row>
    <row r="25" customFormat="false" ht="19.9" hidden="false" customHeight="true" outlineLevel="0" collapsed="false">
      <c r="A25" s="244" t="s">
        <v>285</v>
      </c>
      <c r="B25" s="246" t="n">
        <f aca="false">'ОЛ ПКУ'!C15</f>
        <v>0.5</v>
      </c>
      <c r="C25" s="245"/>
    </row>
    <row r="26" customFormat="false" ht="19.9" hidden="false" customHeight="true" outlineLevel="0" collapsed="false">
      <c r="A26" s="244" t="s">
        <v>286</v>
      </c>
      <c r="B26" s="246" t="str">
        <f aca="false">IF('ОЛ ТН'!B18="ЗНОЛП_6","3",IF('ОЛ ТН'!B18="ЗНОЛП_10","3","----"))</f>
        <v>3</v>
      </c>
      <c r="C26" s="245"/>
    </row>
    <row r="27" customFormat="false" ht="25.5" hidden="false" customHeight="false" outlineLevel="0" collapsed="false">
      <c r="A27" s="244" t="s">
        <v>125</v>
      </c>
      <c r="B27" s="246" t="n">
        <f aca="false">VLOOKUP('ОЛ ТН'!B18,Список!B42:F47,IF('ОЛ ТН'!B25=0.2,2,IF('ОЛ ТН'!B25=0.5,3,IF('ОЛ ТН'!B25=1,4,5))),FALSE())</f>
        <v>50</v>
      </c>
      <c r="C27" s="245"/>
    </row>
    <row r="28" customFormat="false" ht="25.5" hidden="false" customHeight="false" outlineLevel="0" collapsed="false">
      <c r="A28" s="244" t="s">
        <v>287</v>
      </c>
      <c r="B28" s="246" t="n">
        <f aca="false">IF(B18="ЗНОЛП_10",300,IF(B18="ЗНОЛП_6",200,"----"))</f>
        <v>200</v>
      </c>
      <c r="C28" s="245"/>
    </row>
    <row r="29" customFormat="false" ht="19.9" hidden="false" customHeight="true" outlineLevel="0" collapsed="false">
      <c r="A29" s="244" t="s">
        <v>127</v>
      </c>
      <c r="B29" s="246" t="n">
        <f aca="false">VLOOKUP('ОЛ ТН'!B18,Список!B42:L47,11,FALSE())</f>
        <v>400</v>
      </c>
      <c r="C29" s="245"/>
    </row>
    <row r="30" customFormat="false" ht="19.9" hidden="false" customHeight="true" outlineLevel="0" collapsed="false">
      <c r="A30" s="244" t="s">
        <v>288</v>
      </c>
      <c r="B30" s="217"/>
    </row>
    <row r="31" customFormat="false" ht="19.9" hidden="false" customHeight="true" outlineLevel="0" collapsed="false">
      <c r="A31" s="244" t="s">
        <v>289</v>
      </c>
      <c r="B31" s="217"/>
    </row>
    <row r="32" customFormat="false" ht="19.9" hidden="false" customHeight="true" outlineLevel="0" collapsed="false">
      <c r="A32" s="244" t="s">
        <v>290</v>
      </c>
      <c r="B32" s="217"/>
    </row>
    <row r="33" customFormat="false" ht="15" hidden="false" customHeight="false" outlineLevel="0" collapsed="false">
      <c r="A33" s="247"/>
    </row>
    <row r="34" customFormat="false" ht="15" hidden="false" customHeight="false" outlineLevel="0" collapsed="false">
      <c r="A34" s="248"/>
    </row>
    <row r="35" customFormat="false" ht="15" hidden="false" customHeight="false" outlineLevel="0" collapsed="false">
      <c r="A35" s="223"/>
      <c r="B35" s="223"/>
    </row>
    <row r="36" customFormat="false" ht="15" hidden="false" customHeight="false" outlineLevel="0" collapsed="false">
      <c r="A36" s="223"/>
    </row>
    <row r="37" customFormat="false" ht="15" hidden="false" customHeight="false" outlineLevel="0" collapsed="false">
      <c r="A37" s="223"/>
    </row>
    <row r="38" customFormat="false" ht="15" hidden="false" customHeight="false" outlineLevel="0" collapsed="false">
      <c r="A38" s="223"/>
      <c r="B38" s="226"/>
    </row>
    <row r="39" customFormat="false" ht="15" hidden="false" customHeight="false" outlineLevel="0" collapsed="false">
      <c r="A39" s="223"/>
    </row>
  </sheetData>
  <mergeCells count="4">
    <mergeCell ref="B11:C11"/>
    <mergeCell ref="B12:C12"/>
    <mergeCell ref="B13:C13"/>
    <mergeCell ref="B14:C14"/>
  </mergeCells>
  <hyperlinks>
    <hyperlink ref="A4" r:id="rId1" display="http://www.cztt.ru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516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2017-02-07T04:37:51Z</dcterms:created>
  <dc:creator>user</dc:creator>
  <dc:description/>
  <dc:language>ru-RU</dc:language>
  <cp:lastModifiedBy>Давыдов Николай Сергеевич</cp:lastModifiedBy>
  <cp:lastPrinted>2022-04-08T10:02:00Z</cp:lastPrinted>
  <dcterms:modified xsi:type="dcterms:W3CDTF">2022-06-24T08:37:22Z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