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Юристы\КОНКУРСЫ\2023\Канцелярия на 2024\Для размещения\"/>
    </mc:Choice>
  </mc:AlternateContent>
  <xr:revisionPtr revIDLastSave="0" documentId="13_ncr:1_{1F4360F3-48B1-4CF5-8F93-759FB9DE391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К ТЕХ ЗАДАНИЮ" sheetId="1" r:id="rId1"/>
    <sheet name="РАСЧЕТ НМЦ" sheetId="3" r:id="rId2"/>
    <sheet name="мама" sheetId="8" state="hidden" r:id="rId3"/>
    <sheet name="объем" sheetId="9" state="hidden" r:id="rId4"/>
    <sheet name="вит" sheetId="10" state="hidden" r:id="rId5"/>
    <sheet name="вит дог" sheetId="11" state="hidden" r:id="rId6"/>
    <sheet name="луг" sheetId="12" state="hidden" r:id="rId7"/>
    <sheet name="луг дог" sheetId="13" state="hidden" r:id="rId8"/>
    <sheet name="осв 20" sheetId="14" state="hidden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solver_adj" localSheetId="0" hidden="1">'К ТЕХ ЗАДАНИЮ'!#REF!</definedName>
    <definedName name="solver_adj" localSheetId="1" hidden="1">'РАСЧЕТ НМЦ'!#REF!</definedName>
    <definedName name="solver_cvg" localSheetId="0" hidden="1">0.0001</definedName>
    <definedName name="solver_cvg" localSheetId="1" hidden="1">0.0001</definedName>
    <definedName name="solver_drv" localSheetId="0" hidden="1">2</definedName>
    <definedName name="solver_drv" localSheetId="1" hidden="1">2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'К ТЕХ ЗАДАНИЮ'!#REF!</definedName>
    <definedName name="solver_lhs1" localSheetId="1" hidden="1">'РАСЧЕТ НМЦ'!#REF!</definedName>
    <definedName name="solver_lhs2" localSheetId="0" hidden="1">'К ТЕХ ЗАДАНИЮ'!#REF!</definedName>
    <definedName name="solver_lhs2" localSheetId="1" hidden="1">'РАСЧЕТ НМЦ'!#REF!</definedName>
    <definedName name="solver_lhs3" localSheetId="0" hidden="1">'К ТЕХ ЗАДАНИЮ'!#REF!</definedName>
    <definedName name="solver_lhs3" localSheetId="1" hidden="1">'РАСЧЕТ НМЦ'!#REF!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2</definedName>
    <definedName name="solver_neg" localSheetId="1" hidden="1">2</definedName>
    <definedName name="solver_nod" localSheetId="0" hidden="1">2147483647</definedName>
    <definedName name="solver_nod" localSheetId="1" hidden="1">2147483647</definedName>
    <definedName name="solver_num" localSheetId="0" hidden="1">3</definedName>
    <definedName name="solver_num" localSheetId="1" hidden="1">3</definedName>
    <definedName name="solver_nwt" localSheetId="0" hidden="1">1</definedName>
    <definedName name="solver_nwt" localSheetId="1" hidden="1">1</definedName>
    <definedName name="solver_opt" localSheetId="0" hidden="1">'К ТЕХ ЗАДАНИЮ'!#REF!</definedName>
    <definedName name="solver_opt" localSheetId="1" hidden="1">'РАСЧЕТ НМЦ'!#REF!</definedName>
    <definedName name="solver_pre" localSheetId="0" hidden="1">0.000001</definedName>
    <definedName name="solver_pre" localSheetId="1" hidden="1">0.000001</definedName>
    <definedName name="solver_rbv" localSheetId="0" hidden="1">2</definedName>
    <definedName name="solver_rbv" localSheetId="1" hidden="1">2</definedName>
    <definedName name="solver_rel1" localSheetId="0" hidden="1">1</definedName>
    <definedName name="solver_rel1" localSheetId="1" hidden="1">1</definedName>
    <definedName name="solver_rel2" localSheetId="0" hidden="1">1</definedName>
    <definedName name="solver_rel2" localSheetId="1" hidden="1">1</definedName>
    <definedName name="solver_rel3" localSheetId="0" hidden="1">3</definedName>
    <definedName name="solver_rel3" localSheetId="1" hidden="1">3</definedName>
    <definedName name="solver_rhs1" localSheetId="0" hidden="1">'К ТЕХ ЗАДАНИЮ'!#REF!</definedName>
    <definedName name="solver_rhs1" localSheetId="1" hidden="1">'РАСЧЕТ НМЦ'!#REF!</definedName>
    <definedName name="solver_rhs2" localSheetId="0" hidden="1">'К ТЕХ ЗАДАНИЮ'!#REF!</definedName>
    <definedName name="solver_rhs2" localSheetId="1" hidden="1">'РАСЧЕТ НМЦ'!#REF!</definedName>
    <definedName name="solver_rhs3" localSheetId="0" hidden="1">'К ТЕХ ЗАДАНИЮ'!#REF!</definedName>
    <definedName name="solver_rhs3" localSheetId="1" hidden="1">'РАСЧЕТ НМЦ'!#REF!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3</definedName>
    <definedName name="solver_typ" localSheetId="1" hidden="1">3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  <definedName name="Z_4F83E3D9_05C9_45DD_BE29_5010E4EF885C_.wvu.Cols" localSheetId="4" hidden="1">вит!$C:$I,вит!$K:$K,вит!$M:$T,вит!$IY:$JE,вит!$JG:$JG,вит!$JI:$JP,вит!$SU:$TA,вит!$TC:$TC,вит!$TE:$TL,вит!$ACQ:$ACW,вит!$ACY:$ACY,вит!$ADA:$ADH,вит!$AMM:$AMS,вит!$AMU:$AMU,вит!$AMW:$AND,вит!$AWI:$AWO,вит!$AWQ:$AWQ,вит!$AWS:$AWZ,вит!$BGE:$BGK,вит!$BGM:$BGM,вит!$BGO:$BGV,вит!$BQA:$BQG,вит!$BQI:$BQI,вит!$BQK:$BQR,вит!$BZW:$CAC,вит!$CAE:$CAE,вит!$CAG:$CAN,вит!$CJS:$CJY,вит!$CKA:$CKA,вит!$CKC:$CKJ,вит!$CTO:$CTU,вит!$CTW:$CTW,вит!$CTY:$CUF,вит!$DDK:$DDQ,вит!$DDS:$DDS,вит!$DDU:$DEB,вит!$DNG:$DNM,вит!$DNO:$DNO,вит!$DNQ:$DNX,вит!$DXC:$DXI,вит!$DXK:$DXK,вит!$DXM:$DXT,вит!$EGY:$EHE,вит!$EHG:$EHG,вит!$EHI:$EHP,вит!$EQU:$ERA,вит!$ERC:$ERC,вит!$ERE:$ERL,вит!$FAQ:$FAW,вит!$FAY:$FAY,вит!$FBA:$FBH,вит!$FKM:$FKS,вит!$FKU:$FKU,вит!$FKW:$FLD,вит!$FUI:$FUO,вит!$FUQ:$FUQ,вит!$FUS:$FUZ,вит!$GEE:$GEK,вит!$GEM:$GEM,вит!$GEO:$GEV,вит!$GOA:$GOG,вит!$GOI:$GOI,вит!$GOK:$GOR,вит!$GXW:$GYC,вит!$GYE:$GYE,вит!$GYG:$GYN,вит!$HHS:$HHY,вит!$HIA:$HIA,вит!$HIC:$HIJ,вит!$HRO:$HRU,вит!$HRW:$HRW,вит!$HRY:$HSF,вит!$IBK:$IBQ,вит!$IBS:$IBS,вит!$IBU:$ICB,вит!$ILG:$ILM,вит!$ILO:$ILO,вит!$ILQ:$ILX,вит!$IVC:$IVI,вит!$IVK:$IVK,вит!$IVM:$IVT,вит!$JEY:$JFE,вит!$JFG:$JFG,вит!$JFI:$JFP,вит!$JOU:$JPA,вит!$JPC:$JPC,вит!$JPE:$JPL,вит!$JYQ:$JYW,вит!$JYY:$JYY,вит!$JZA:$JZH,вит!$KIM:$KIS,вит!$KIU:$KIU,вит!$KIW:$KJD,вит!$KSI:$KSO,вит!$KSQ:$KSQ,вит!$KSS:$KSZ,вит!$LCE:$LCK,вит!$LCM:$LCM,вит!$LCO:$LCV,вит!$LMA:$LMG,вит!$LMI:$LMI,вит!$LMK:$LMR,вит!$LVW:$LWC,вит!$LWE:$LWE,вит!$LWG:$LWN,вит!$MFS:$MFY,вит!$MGA:$MGA,вит!$MGC:$MGJ,вит!$MPO:$MPU,вит!$MPW:$MPW,вит!$MPY:$MQF,вит!$MZK:$MZQ,вит!$MZS:$MZS,вит!$MZU:$NAB,вит!$NJG:$NJM,вит!$NJO:$NJO,вит!$NJQ:$NJX,вит!$NTC:$NTI,вит!$NTK:$NTK,вит!$NTM:$NTT,вит!$OCY:$ODE,вит!$ODG:$ODG,вит!$ODI:$ODP,вит!$OMU:$ONA,вит!$ONC:$ONC,вит!$ONE:$ONL,вит!$OWQ:$OWW,вит!$OWY:$OWY,вит!$OXA:$OXH,вит!$PGM:$PGS,вит!$PGU:$PGU,вит!$PGW:$PHD,вит!$PQI:$PQO,вит!$PQQ:$PQQ,вит!$PQS:$PQZ,вит!$QAE:$QAK,вит!$QAM:$QAM,вит!$QAO:$QAV,вит!$QKA:$QKG,вит!$QKI:$QKI,вит!$QKK:$QKR,вит!$QTW:$QUC,вит!$QUE:$QUE,вит!$QUG:$QUN,вит!$RDS:$RDY,вит!$REA:$REA,вит!$REC:$REJ,вит!$RNO:$RNU,вит!$RNW:$RNW,вит!$RNY:$ROF,вит!$RXK:$RXQ,вит!$RXS:$RXS,вит!$RXU:$RYB,вит!$SHG:$SHM,вит!$SHO:$SHO,вит!$SHQ:$SHX,вит!$SRC:$SRI,вит!$SRK:$SRK,вит!$SRM:$SRT,вит!$TAY:$TBE,вит!$TBG:$TBG,вит!$TBI:$TBP,вит!$TKU:$TLA,вит!$TLC:$TLC,вит!$TLE:$TLL,вит!$TUQ:$TUW,вит!$TUY:$TUY,вит!$TVA:$TVH,вит!$UEM:$UES,вит!$UEU:$UEU,вит!$UEW:$UFD,вит!$UOI:$UOO,вит!$UOQ:$UOQ,вит!$UOS:$UOZ,вит!$UYE:$UYK,вит!$UYM:$UYM,вит!$UYO:$UYV,вит!$VIA:$VIG,вит!$VII:$VII,вит!$VIK:$VIR,вит!$VRW:$VSC,вит!$VSE:$VSE,вит!$VSG:$VSN,вит!$WBS:$WBY,вит!$WCA:$WCA,вит!$WCC:$WCJ,вит!$WLO:$WLU,вит!$WLW:$WLW,вит!$WLY:$WMF,вит!$WVK:$WVQ,вит!$WVS:$WVS,вит!$WVU:$WWB</definedName>
    <definedName name="Z_4F83E3D9_05C9_45DD_BE29_5010E4EF885C_.wvu.Cols" localSheetId="5" hidden="1">'вит дог'!$C:$I,'вит дог'!$K:$K,'вит дог'!$M:$T,'вит дог'!$IY:$JE,'вит дог'!$JG:$JG,'вит дог'!$JI:$JP,'вит дог'!$SU:$TA,'вит дог'!$TC:$TC,'вит дог'!$TE:$TL,'вит дог'!$ACQ:$ACW,'вит дог'!$ACY:$ACY,'вит дог'!$ADA:$ADH,'вит дог'!$AMM:$AMS,'вит дог'!$AMU:$AMU,'вит дог'!$AMW:$AND,'вит дог'!$AWI:$AWO,'вит дог'!$AWQ:$AWQ,'вит дог'!$AWS:$AWZ,'вит дог'!$BGE:$BGK,'вит дог'!$BGM:$BGM,'вит дог'!$BGO:$BGV,'вит дог'!$BQA:$BQG,'вит дог'!$BQI:$BQI,'вит дог'!$BQK:$BQR,'вит дог'!$BZW:$CAC,'вит дог'!$CAE:$CAE,'вит дог'!$CAG:$CAN,'вит дог'!$CJS:$CJY,'вит дог'!$CKA:$CKA,'вит дог'!$CKC:$CKJ,'вит дог'!$CTO:$CTU,'вит дог'!$CTW:$CTW,'вит дог'!$CTY:$CUF,'вит дог'!$DDK:$DDQ,'вит дог'!$DDS:$DDS,'вит дог'!$DDU:$DEB,'вит дог'!$DNG:$DNM,'вит дог'!$DNO:$DNO,'вит дог'!$DNQ:$DNX,'вит дог'!$DXC:$DXI,'вит дог'!$DXK:$DXK,'вит дог'!$DXM:$DXT,'вит дог'!$EGY:$EHE,'вит дог'!$EHG:$EHG,'вит дог'!$EHI:$EHP,'вит дог'!$EQU:$ERA,'вит дог'!$ERC:$ERC,'вит дог'!$ERE:$ERL,'вит дог'!$FAQ:$FAW,'вит дог'!$FAY:$FAY,'вит дог'!$FBA:$FBH,'вит дог'!$FKM:$FKS,'вит дог'!$FKU:$FKU,'вит дог'!$FKW:$FLD,'вит дог'!$FUI:$FUO,'вит дог'!$FUQ:$FUQ,'вит дог'!$FUS:$FUZ,'вит дог'!$GEE:$GEK,'вит дог'!$GEM:$GEM,'вит дог'!$GEO:$GEV,'вит дог'!$GOA:$GOG,'вит дог'!$GOI:$GOI,'вит дог'!$GOK:$GOR,'вит дог'!$GXW:$GYC,'вит дог'!$GYE:$GYE,'вит дог'!$GYG:$GYN,'вит дог'!$HHS:$HHY,'вит дог'!$HIA:$HIA,'вит дог'!$HIC:$HIJ,'вит дог'!$HRO:$HRU,'вит дог'!$HRW:$HRW,'вит дог'!$HRY:$HSF,'вит дог'!$IBK:$IBQ,'вит дог'!$IBS:$IBS,'вит дог'!$IBU:$ICB,'вит дог'!$ILG:$ILM,'вит дог'!$ILO:$ILO,'вит дог'!$ILQ:$ILX,'вит дог'!$IVC:$IVI,'вит дог'!$IVK:$IVK,'вит дог'!$IVM:$IVT,'вит дог'!$JEY:$JFE,'вит дог'!$JFG:$JFG,'вит дог'!$JFI:$JFP,'вит дог'!$JOU:$JPA,'вит дог'!$JPC:$JPC,'вит дог'!$JPE:$JPL,'вит дог'!$JYQ:$JYW,'вит дог'!$JYY:$JYY,'вит дог'!$JZA:$JZH,'вит дог'!$KIM:$KIS,'вит дог'!$KIU:$KIU,'вит дог'!$KIW:$KJD,'вит дог'!$KSI:$KSO,'вит дог'!$KSQ:$KSQ,'вит дог'!$KSS:$KSZ,'вит дог'!$LCE:$LCK,'вит дог'!$LCM:$LCM,'вит дог'!$LCO:$LCV,'вит дог'!$LMA:$LMG,'вит дог'!$LMI:$LMI,'вит дог'!$LMK:$LMR,'вит дог'!$LVW:$LWC,'вит дог'!$LWE:$LWE,'вит дог'!$LWG:$LWN,'вит дог'!$MFS:$MFY,'вит дог'!$MGA:$MGA,'вит дог'!$MGC:$MGJ,'вит дог'!$MPO:$MPU,'вит дог'!$MPW:$MPW,'вит дог'!$MPY:$MQF,'вит дог'!$MZK:$MZQ,'вит дог'!$MZS:$MZS,'вит дог'!$MZU:$NAB,'вит дог'!$NJG:$NJM,'вит дог'!$NJO:$NJO,'вит дог'!$NJQ:$NJX,'вит дог'!$NTC:$NTI,'вит дог'!$NTK:$NTK,'вит дог'!$NTM:$NTT,'вит дог'!$OCY:$ODE,'вит дог'!$ODG:$ODG,'вит дог'!$ODI:$ODP,'вит дог'!$OMU:$ONA,'вит дог'!$ONC:$ONC,'вит дог'!$ONE:$ONL,'вит дог'!$OWQ:$OWW,'вит дог'!$OWY:$OWY,'вит дог'!$OXA:$OXH,'вит дог'!$PGM:$PGS,'вит дог'!$PGU:$PGU,'вит дог'!$PGW:$PHD,'вит дог'!$PQI:$PQO,'вит дог'!$PQQ:$PQQ,'вит дог'!$PQS:$PQZ,'вит дог'!$QAE:$QAK,'вит дог'!$QAM:$QAM,'вит дог'!$QAO:$QAV,'вит дог'!$QKA:$QKG,'вит дог'!$QKI:$QKI,'вит дог'!$QKK:$QKR,'вит дог'!$QTW:$QUC,'вит дог'!$QUE:$QUE,'вит дог'!$QUG:$QUN,'вит дог'!$RDS:$RDY,'вит дог'!$REA:$REA,'вит дог'!$REC:$REJ,'вит дог'!$RNO:$RNU,'вит дог'!$RNW:$RNW,'вит дог'!$RNY:$ROF,'вит дог'!$RXK:$RXQ,'вит дог'!$RXS:$RXS,'вит дог'!$RXU:$RYB,'вит дог'!$SHG:$SHM,'вит дог'!$SHO:$SHO,'вит дог'!$SHQ:$SHX,'вит дог'!$SRC:$SRI,'вит дог'!$SRK:$SRK,'вит дог'!$SRM:$SRT,'вит дог'!$TAY:$TBE,'вит дог'!$TBG:$TBG,'вит дог'!$TBI:$TBP,'вит дог'!$TKU:$TLA,'вит дог'!$TLC:$TLC,'вит дог'!$TLE:$TLL,'вит дог'!$TUQ:$TUW,'вит дог'!$TUY:$TUY,'вит дог'!$TVA:$TVH,'вит дог'!$UEM:$UES,'вит дог'!$UEU:$UEU,'вит дог'!$UEW:$UFD,'вит дог'!$UOI:$UOO,'вит дог'!$UOQ:$UOQ,'вит дог'!$UOS:$UOZ,'вит дог'!$UYE:$UYK,'вит дог'!$UYM:$UYM,'вит дог'!$UYO:$UYV,'вит дог'!$VIA:$VIG,'вит дог'!$VII:$VII,'вит дог'!$VIK:$VIR,'вит дог'!$VRW:$VSC,'вит дог'!$VSE:$VSE,'вит дог'!$VSG:$VSN,'вит дог'!$WBS:$WBY,'вит дог'!$WCA:$WCA,'вит дог'!$WCC:$WCJ,'вит дог'!$WLO:$WLU,'вит дог'!$WLW:$WLW,'вит дог'!$WLY:$WMF,'вит дог'!$WVK:$WVQ,'вит дог'!$WVS:$WVS,'вит дог'!$WVU:$WWB</definedName>
    <definedName name="Z_4F83E3D9_05C9_45DD_BE29_5010E4EF885C_.wvu.Cols" localSheetId="6" hidden="1">луг!$B:$L,луг!$P:$T,луг!$IX:$JH,луг!$JL:$JP,луг!$ST:$TD,луг!$TH:$TL,луг!$ACP:$ACZ,луг!$ADD:$ADH,луг!$AML:$AMV,луг!$AMZ:$AND,луг!$AWH:$AWR,луг!$AWV:$AWZ,луг!$BGD:$BGN,луг!$BGR:$BGV,луг!$BPZ:$BQJ,луг!$BQN:$BQR,луг!$BZV:$CAF,луг!$CAJ:$CAN,луг!$CJR:$CKB,луг!$CKF:$CKJ,луг!$CTN:$CTX,луг!$CUB:$CUF,луг!$DDJ:$DDT,луг!$DDX:$DEB,луг!$DNF:$DNP,луг!$DNT:$DNX,луг!$DXB:$DXL,луг!$DXP:$DXT,луг!$EGX:$EHH,луг!$EHL:$EHP,луг!$EQT:$ERD,луг!$ERH:$ERL,луг!$FAP:$FAZ,луг!$FBD:$FBH,луг!$FKL:$FKV,луг!$FKZ:$FLD,луг!$FUH:$FUR,луг!$FUV:$FUZ,луг!$GED:$GEN,луг!$GER:$GEV,луг!$GNZ:$GOJ,луг!$GON:$GOR,луг!$GXV:$GYF,луг!$GYJ:$GYN,луг!$HHR:$HIB,луг!$HIF:$HIJ,луг!$HRN:$HRX,луг!$HSB:$HSF,луг!$IBJ:$IBT,луг!$IBX:$ICB,луг!$ILF:$ILP,луг!$ILT:$ILX,луг!$IVB:$IVL,луг!$IVP:$IVT,луг!$JEX:$JFH,луг!$JFL:$JFP,луг!$JOT:$JPD,луг!$JPH:$JPL,луг!$JYP:$JYZ,луг!$JZD:$JZH,луг!$KIL:$KIV,луг!$KIZ:$KJD,луг!$KSH:$KSR,луг!$KSV:$KSZ,луг!$LCD:$LCN,луг!$LCR:$LCV,луг!$LLZ:$LMJ,луг!$LMN:$LMR,луг!$LVV:$LWF,луг!$LWJ:$LWN,луг!$MFR:$MGB,луг!$MGF:$MGJ,луг!$MPN:$MPX,луг!$MQB:$MQF,луг!$MZJ:$MZT,луг!$MZX:$NAB,луг!$NJF:$NJP,луг!$NJT:$NJX,луг!$NTB:$NTL,луг!$NTP:$NTT,луг!$OCX:$ODH,луг!$ODL:$ODP,луг!$OMT:$OND,луг!$ONH:$ONL,луг!$OWP:$OWZ,луг!$OXD:$OXH,луг!$PGL:$PGV,луг!$PGZ:$PHD,луг!$PQH:$PQR,луг!$PQV:$PQZ,луг!$QAD:$QAN,луг!$QAR:$QAV,луг!$QJZ:$QKJ,луг!$QKN:$QKR,луг!$QTV:$QUF,луг!$QUJ:$QUN,луг!$RDR:$REB,луг!$REF:$REJ,луг!$RNN:$RNX,луг!$ROB:$ROF,луг!$RXJ:$RXT,луг!$RXX:$RYB,луг!$SHF:$SHP,луг!$SHT:$SHX,луг!$SRB:$SRL,луг!$SRP:$SRT,луг!$TAX:$TBH,луг!$TBL:$TBP,луг!$TKT:$TLD,луг!$TLH:$TLL,луг!$TUP:$TUZ,луг!$TVD:$TVH,луг!$UEL:$UEV,луг!$UEZ:$UFD,луг!$UOH:$UOR,луг!$UOV:$UOZ,луг!$UYD:$UYN,луг!$UYR:$UYV,луг!$VHZ:$VIJ,луг!$VIN:$VIR,луг!$VRV:$VSF,луг!$VSJ:$VSN,луг!$WBR:$WCB,луг!$WCF:$WCJ,луг!$WLN:$WLX,луг!$WMB:$WMF,луг!$WVJ:$WVT,луг!$WVX:$WWB</definedName>
    <definedName name="Z_4F83E3D9_05C9_45DD_BE29_5010E4EF885C_.wvu.Cols" localSheetId="7" hidden="1">'луг дог'!$B:$L,'луг дог'!$P:$T,'луг дог'!$IX:$JH,'луг дог'!$JL:$JP,'луг дог'!$ST:$TD,'луг дог'!$TH:$TL,'луг дог'!$ACP:$ACZ,'луг дог'!$ADD:$ADH,'луг дог'!$AML:$AMV,'луг дог'!$AMZ:$AND,'луг дог'!$AWH:$AWR,'луг дог'!$AWV:$AWZ,'луг дог'!$BGD:$BGN,'луг дог'!$BGR:$BGV,'луг дог'!$BPZ:$BQJ,'луг дог'!$BQN:$BQR,'луг дог'!$BZV:$CAF,'луг дог'!$CAJ:$CAN,'луг дог'!$CJR:$CKB,'луг дог'!$CKF:$CKJ,'луг дог'!$CTN:$CTX,'луг дог'!$CUB:$CUF,'луг дог'!$DDJ:$DDT,'луг дог'!$DDX:$DEB,'луг дог'!$DNF:$DNP,'луг дог'!$DNT:$DNX,'луг дог'!$DXB:$DXL,'луг дог'!$DXP:$DXT,'луг дог'!$EGX:$EHH,'луг дог'!$EHL:$EHP,'луг дог'!$EQT:$ERD,'луг дог'!$ERH:$ERL,'луг дог'!$FAP:$FAZ,'луг дог'!$FBD:$FBH,'луг дог'!$FKL:$FKV,'луг дог'!$FKZ:$FLD,'луг дог'!$FUH:$FUR,'луг дог'!$FUV:$FUZ,'луг дог'!$GED:$GEN,'луг дог'!$GER:$GEV,'луг дог'!$GNZ:$GOJ,'луг дог'!$GON:$GOR,'луг дог'!$GXV:$GYF,'луг дог'!$GYJ:$GYN,'луг дог'!$HHR:$HIB,'луг дог'!$HIF:$HIJ,'луг дог'!$HRN:$HRX,'луг дог'!$HSB:$HSF,'луг дог'!$IBJ:$IBT,'луг дог'!$IBX:$ICB,'луг дог'!$ILF:$ILP,'луг дог'!$ILT:$ILX,'луг дог'!$IVB:$IVL,'луг дог'!$IVP:$IVT,'луг дог'!$JEX:$JFH,'луг дог'!$JFL:$JFP,'луг дог'!$JOT:$JPD,'луг дог'!$JPH:$JPL,'луг дог'!$JYP:$JYZ,'луг дог'!$JZD:$JZH,'луг дог'!$KIL:$KIV,'луг дог'!$KIZ:$KJD,'луг дог'!$KSH:$KSR,'луг дог'!$KSV:$KSZ,'луг дог'!$LCD:$LCN,'луг дог'!$LCR:$LCV,'луг дог'!$LLZ:$LMJ,'луг дог'!$LMN:$LMR,'луг дог'!$LVV:$LWF,'луг дог'!$LWJ:$LWN,'луг дог'!$MFR:$MGB,'луг дог'!$MGF:$MGJ,'луг дог'!$MPN:$MPX,'луг дог'!$MQB:$MQF,'луг дог'!$MZJ:$MZT,'луг дог'!$MZX:$NAB,'луг дог'!$NJF:$NJP,'луг дог'!$NJT:$NJX,'луг дог'!$NTB:$NTL,'луг дог'!$NTP:$NTT,'луг дог'!$OCX:$ODH,'луг дог'!$ODL:$ODP,'луг дог'!$OMT:$OND,'луг дог'!$ONH:$ONL,'луг дог'!$OWP:$OWZ,'луг дог'!$OXD:$OXH,'луг дог'!$PGL:$PGV,'луг дог'!$PGZ:$PHD,'луг дог'!$PQH:$PQR,'луг дог'!$PQV:$PQZ,'луг дог'!$QAD:$QAN,'луг дог'!$QAR:$QAV,'луг дог'!$QJZ:$QKJ,'луг дог'!$QKN:$QKR,'луг дог'!$QTV:$QUF,'луг дог'!$QUJ:$QUN,'луг дог'!$RDR:$REB,'луг дог'!$REF:$REJ,'луг дог'!$RNN:$RNX,'луг дог'!$ROB:$ROF,'луг дог'!$RXJ:$RXT,'луг дог'!$RXX:$RYB,'луг дог'!$SHF:$SHP,'луг дог'!$SHT:$SHX,'луг дог'!$SRB:$SRL,'луг дог'!$SRP:$SRT,'луг дог'!$TAX:$TBH,'луг дог'!$TBL:$TBP,'луг дог'!$TKT:$TLD,'луг дог'!$TLH:$TLL,'луг дог'!$TUP:$TUZ,'луг дог'!$TVD:$TVH,'луг дог'!$UEL:$UEV,'луг дог'!$UEZ:$UFD,'луг дог'!$UOH:$UOR,'луг дог'!$UOV:$UOZ,'луг дог'!$UYD:$UYN,'луг дог'!$UYR:$UYV,'луг дог'!$VHZ:$VIJ,'луг дог'!$VIN:$VIR,'луг дог'!$VRV:$VSF,'луг дог'!$VSJ:$VSN,'луг дог'!$WBR:$WCB,'луг дог'!$WCF:$WCJ,'луг дог'!$WLN:$WLX,'луг дог'!$WMB:$WMF,'луг дог'!$WVJ:$WVT,'луг дог'!$WVX:$WWB</definedName>
    <definedName name="Z_4F83E3D9_05C9_45DD_BE29_5010E4EF885C_.wvu.Cols" localSheetId="2" hidden="1">мама!$J:$T,мама!$JF:$JP,мама!$TB:$TL,мама!$ACX:$ADH,мама!$AMT:$AND,мама!$AWP:$AWZ,мама!$BGL:$BGV,мама!$BQH:$BQR,мама!$CAD:$CAN,мама!$CJZ:$CKJ,мама!$CTV:$CUF,мама!$DDR:$DEB,мама!$DNN:$DNX,мама!$DXJ:$DXT,мама!$EHF:$EHP,мама!$ERB:$ERL,мама!$FAX:$FBH,мама!$FKT:$FLD,мама!$FUP:$FUZ,мама!$GEL:$GEV,мама!$GOH:$GOR,мама!$GYD:$GYN,мама!$HHZ:$HIJ,мама!$HRV:$HSF,мама!$IBR:$ICB,мама!$ILN:$ILX,мама!$IVJ:$IVT,мама!$JFF:$JFP,мама!$JPB:$JPL,мама!$JYX:$JZH,мама!$KIT:$KJD,мама!$KSP:$KSZ,мама!$LCL:$LCV,мама!$LMH:$LMR,мама!$LWD:$LWN,мама!$MFZ:$MGJ,мама!$MPV:$MQF,мама!$MZR:$NAB,мама!$NJN:$NJX,мама!$NTJ:$NTT,мама!$ODF:$ODP,мама!$ONB:$ONL,мама!$OWX:$OXH,мама!$PGT:$PHD,мама!$PQP:$PQZ,мама!$QAL:$QAV,мама!$QKH:$QKR,мама!$QUD:$QUN,мама!$RDZ:$REJ,мама!$RNV:$ROF,мама!$RXR:$RYB,мама!$SHN:$SHX,мама!$SRJ:$SRT,мама!$TBF:$TBP,мама!$TLB:$TLL,мама!$TUX:$TVH,мама!$UET:$UFD,мама!$UOP:$UOZ,мама!$UYL:$UYV,мама!$VIH:$VIR,мама!$VSD:$VSN,мама!$WBZ:$WCJ,мама!$WLV:$WMF,мама!$WVR:$WWB</definedName>
    <definedName name="Z_4F83E3D9_05C9_45DD_BE29_5010E4EF885C_.wvu.PrintArea" localSheetId="4" hidden="1">вит!$A$1:$L$43</definedName>
    <definedName name="Z_4F83E3D9_05C9_45DD_BE29_5010E4EF885C_.wvu.PrintArea" localSheetId="5" hidden="1">'вит дог'!$A$1:$L$43</definedName>
    <definedName name="Z_4F83E3D9_05C9_45DD_BE29_5010E4EF885C_.wvu.PrintArea" localSheetId="6" hidden="1">луг!$A$1:$R$41</definedName>
    <definedName name="Z_4F83E3D9_05C9_45DD_BE29_5010E4EF885C_.wvu.PrintArea" localSheetId="7" hidden="1">'луг дог'!$A$1:$R$41</definedName>
    <definedName name="Z_4F83E3D9_05C9_45DD_BE29_5010E4EF885C_.wvu.PrintArea" localSheetId="2" hidden="1">мама!$A$1:$I$43</definedName>
    <definedName name="Z_4F83E3D9_05C9_45DD_BE29_5010E4EF885C_.wvu.Rows" localSheetId="4" hidden="1">вит!$7:$8</definedName>
    <definedName name="Z_4F83E3D9_05C9_45DD_BE29_5010E4EF885C_.wvu.Rows" localSheetId="5" hidden="1">'вит дог'!$7:$8</definedName>
    <definedName name="Z_E3DB1A70_74DD_44C5_A9A7_0FA1388C0D1F_.wvu.Cols" localSheetId="4" hidden="1">вит!$C:$I,вит!$K:$K,вит!$M:$T,вит!$IY:$JE,вит!$JG:$JG,вит!$JI:$JP,вит!$SU:$TA,вит!$TC:$TC,вит!$TE:$TL,вит!$ACQ:$ACW,вит!$ACY:$ACY,вит!$ADA:$ADH,вит!$AMM:$AMS,вит!$AMU:$AMU,вит!$AMW:$AND,вит!$AWI:$AWO,вит!$AWQ:$AWQ,вит!$AWS:$AWZ,вит!$BGE:$BGK,вит!$BGM:$BGM,вит!$BGO:$BGV,вит!$BQA:$BQG,вит!$BQI:$BQI,вит!$BQK:$BQR,вит!$BZW:$CAC,вит!$CAE:$CAE,вит!$CAG:$CAN,вит!$CJS:$CJY,вит!$CKA:$CKA,вит!$CKC:$CKJ,вит!$CTO:$CTU,вит!$CTW:$CTW,вит!$CTY:$CUF,вит!$DDK:$DDQ,вит!$DDS:$DDS,вит!$DDU:$DEB,вит!$DNG:$DNM,вит!$DNO:$DNO,вит!$DNQ:$DNX,вит!$DXC:$DXI,вит!$DXK:$DXK,вит!$DXM:$DXT,вит!$EGY:$EHE,вит!$EHG:$EHG,вит!$EHI:$EHP,вит!$EQU:$ERA,вит!$ERC:$ERC,вит!$ERE:$ERL,вит!$FAQ:$FAW,вит!$FAY:$FAY,вит!$FBA:$FBH,вит!$FKM:$FKS,вит!$FKU:$FKU,вит!$FKW:$FLD,вит!$FUI:$FUO,вит!$FUQ:$FUQ,вит!$FUS:$FUZ,вит!$GEE:$GEK,вит!$GEM:$GEM,вит!$GEO:$GEV,вит!$GOA:$GOG,вит!$GOI:$GOI,вит!$GOK:$GOR,вит!$GXW:$GYC,вит!$GYE:$GYE,вит!$GYG:$GYN,вит!$HHS:$HHY,вит!$HIA:$HIA,вит!$HIC:$HIJ,вит!$HRO:$HRU,вит!$HRW:$HRW,вит!$HRY:$HSF,вит!$IBK:$IBQ,вит!$IBS:$IBS,вит!$IBU:$ICB,вит!$ILG:$ILM,вит!$ILO:$ILO,вит!$ILQ:$ILX,вит!$IVC:$IVI,вит!$IVK:$IVK,вит!$IVM:$IVT,вит!$JEY:$JFE,вит!$JFG:$JFG,вит!$JFI:$JFP,вит!$JOU:$JPA,вит!$JPC:$JPC,вит!$JPE:$JPL,вит!$JYQ:$JYW,вит!$JYY:$JYY,вит!$JZA:$JZH,вит!$KIM:$KIS,вит!$KIU:$KIU,вит!$KIW:$KJD,вит!$KSI:$KSO,вит!$KSQ:$KSQ,вит!$KSS:$KSZ,вит!$LCE:$LCK,вит!$LCM:$LCM,вит!$LCO:$LCV,вит!$LMA:$LMG,вит!$LMI:$LMI,вит!$LMK:$LMR,вит!$LVW:$LWC,вит!$LWE:$LWE,вит!$LWG:$LWN,вит!$MFS:$MFY,вит!$MGA:$MGA,вит!$MGC:$MGJ,вит!$MPO:$MPU,вит!$MPW:$MPW,вит!$MPY:$MQF,вит!$MZK:$MZQ,вит!$MZS:$MZS,вит!$MZU:$NAB,вит!$NJG:$NJM,вит!$NJO:$NJO,вит!$NJQ:$NJX,вит!$NTC:$NTI,вит!$NTK:$NTK,вит!$NTM:$NTT,вит!$OCY:$ODE,вит!$ODG:$ODG,вит!$ODI:$ODP,вит!$OMU:$ONA,вит!$ONC:$ONC,вит!$ONE:$ONL,вит!$OWQ:$OWW,вит!$OWY:$OWY,вит!$OXA:$OXH,вит!$PGM:$PGS,вит!$PGU:$PGU,вит!$PGW:$PHD,вит!$PQI:$PQO,вит!$PQQ:$PQQ,вит!$PQS:$PQZ,вит!$QAE:$QAK,вит!$QAM:$QAM,вит!$QAO:$QAV,вит!$QKA:$QKG,вит!$QKI:$QKI,вит!$QKK:$QKR,вит!$QTW:$QUC,вит!$QUE:$QUE,вит!$QUG:$QUN,вит!$RDS:$RDY,вит!$REA:$REA,вит!$REC:$REJ,вит!$RNO:$RNU,вит!$RNW:$RNW,вит!$RNY:$ROF,вит!$RXK:$RXQ,вит!$RXS:$RXS,вит!$RXU:$RYB,вит!$SHG:$SHM,вит!$SHO:$SHO,вит!$SHQ:$SHX,вит!$SRC:$SRI,вит!$SRK:$SRK,вит!$SRM:$SRT,вит!$TAY:$TBE,вит!$TBG:$TBG,вит!$TBI:$TBP,вит!$TKU:$TLA,вит!$TLC:$TLC,вит!$TLE:$TLL,вит!$TUQ:$TUW,вит!$TUY:$TUY,вит!$TVA:$TVH,вит!$UEM:$UES,вит!$UEU:$UEU,вит!$UEW:$UFD,вит!$UOI:$UOO,вит!$UOQ:$UOQ,вит!$UOS:$UOZ,вит!$UYE:$UYK,вит!$UYM:$UYM,вит!$UYO:$UYV,вит!$VIA:$VIG,вит!$VII:$VII,вит!$VIK:$VIR,вит!$VRW:$VSC,вит!$VSE:$VSE,вит!$VSG:$VSN,вит!$WBS:$WBY,вит!$WCA:$WCA,вит!$WCC:$WCJ,вит!$WLO:$WLU,вит!$WLW:$WLW,вит!$WLY:$WMF,вит!$WVK:$WVQ,вит!$WVS:$WVS,вит!$WVU:$WWB</definedName>
    <definedName name="Z_E3DB1A70_74DD_44C5_A9A7_0FA1388C0D1F_.wvu.Cols" localSheetId="5" hidden="1">'вит дог'!$C:$I,'вит дог'!$K:$K,'вит дог'!$M:$T,'вит дог'!$IY:$JE,'вит дог'!$JG:$JG,'вит дог'!$JI:$JP,'вит дог'!$SU:$TA,'вит дог'!$TC:$TC,'вит дог'!$TE:$TL,'вит дог'!$ACQ:$ACW,'вит дог'!$ACY:$ACY,'вит дог'!$ADA:$ADH,'вит дог'!$AMM:$AMS,'вит дог'!$AMU:$AMU,'вит дог'!$AMW:$AND,'вит дог'!$AWI:$AWO,'вит дог'!$AWQ:$AWQ,'вит дог'!$AWS:$AWZ,'вит дог'!$BGE:$BGK,'вит дог'!$BGM:$BGM,'вит дог'!$BGO:$BGV,'вит дог'!$BQA:$BQG,'вит дог'!$BQI:$BQI,'вит дог'!$BQK:$BQR,'вит дог'!$BZW:$CAC,'вит дог'!$CAE:$CAE,'вит дог'!$CAG:$CAN,'вит дог'!$CJS:$CJY,'вит дог'!$CKA:$CKA,'вит дог'!$CKC:$CKJ,'вит дог'!$CTO:$CTU,'вит дог'!$CTW:$CTW,'вит дог'!$CTY:$CUF,'вит дог'!$DDK:$DDQ,'вит дог'!$DDS:$DDS,'вит дог'!$DDU:$DEB,'вит дог'!$DNG:$DNM,'вит дог'!$DNO:$DNO,'вит дог'!$DNQ:$DNX,'вит дог'!$DXC:$DXI,'вит дог'!$DXK:$DXK,'вит дог'!$DXM:$DXT,'вит дог'!$EGY:$EHE,'вит дог'!$EHG:$EHG,'вит дог'!$EHI:$EHP,'вит дог'!$EQU:$ERA,'вит дог'!$ERC:$ERC,'вит дог'!$ERE:$ERL,'вит дог'!$FAQ:$FAW,'вит дог'!$FAY:$FAY,'вит дог'!$FBA:$FBH,'вит дог'!$FKM:$FKS,'вит дог'!$FKU:$FKU,'вит дог'!$FKW:$FLD,'вит дог'!$FUI:$FUO,'вит дог'!$FUQ:$FUQ,'вит дог'!$FUS:$FUZ,'вит дог'!$GEE:$GEK,'вит дог'!$GEM:$GEM,'вит дог'!$GEO:$GEV,'вит дог'!$GOA:$GOG,'вит дог'!$GOI:$GOI,'вит дог'!$GOK:$GOR,'вит дог'!$GXW:$GYC,'вит дог'!$GYE:$GYE,'вит дог'!$GYG:$GYN,'вит дог'!$HHS:$HHY,'вит дог'!$HIA:$HIA,'вит дог'!$HIC:$HIJ,'вит дог'!$HRO:$HRU,'вит дог'!$HRW:$HRW,'вит дог'!$HRY:$HSF,'вит дог'!$IBK:$IBQ,'вит дог'!$IBS:$IBS,'вит дог'!$IBU:$ICB,'вит дог'!$ILG:$ILM,'вит дог'!$ILO:$ILO,'вит дог'!$ILQ:$ILX,'вит дог'!$IVC:$IVI,'вит дог'!$IVK:$IVK,'вит дог'!$IVM:$IVT,'вит дог'!$JEY:$JFE,'вит дог'!$JFG:$JFG,'вит дог'!$JFI:$JFP,'вит дог'!$JOU:$JPA,'вит дог'!$JPC:$JPC,'вит дог'!$JPE:$JPL,'вит дог'!$JYQ:$JYW,'вит дог'!$JYY:$JYY,'вит дог'!$JZA:$JZH,'вит дог'!$KIM:$KIS,'вит дог'!$KIU:$KIU,'вит дог'!$KIW:$KJD,'вит дог'!$KSI:$KSO,'вит дог'!$KSQ:$KSQ,'вит дог'!$KSS:$KSZ,'вит дог'!$LCE:$LCK,'вит дог'!$LCM:$LCM,'вит дог'!$LCO:$LCV,'вит дог'!$LMA:$LMG,'вит дог'!$LMI:$LMI,'вит дог'!$LMK:$LMR,'вит дог'!$LVW:$LWC,'вит дог'!$LWE:$LWE,'вит дог'!$LWG:$LWN,'вит дог'!$MFS:$MFY,'вит дог'!$MGA:$MGA,'вит дог'!$MGC:$MGJ,'вит дог'!$MPO:$MPU,'вит дог'!$MPW:$MPW,'вит дог'!$MPY:$MQF,'вит дог'!$MZK:$MZQ,'вит дог'!$MZS:$MZS,'вит дог'!$MZU:$NAB,'вит дог'!$NJG:$NJM,'вит дог'!$NJO:$NJO,'вит дог'!$NJQ:$NJX,'вит дог'!$NTC:$NTI,'вит дог'!$NTK:$NTK,'вит дог'!$NTM:$NTT,'вит дог'!$OCY:$ODE,'вит дог'!$ODG:$ODG,'вит дог'!$ODI:$ODP,'вит дог'!$OMU:$ONA,'вит дог'!$ONC:$ONC,'вит дог'!$ONE:$ONL,'вит дог'!$OWQ:$OWW,'вит дог'!$OWY:$OWY,'вит дог'!$OXA:$OXH,'вит дог'!$PGM:$PGS,'вит дог'!$PGU:$PGU,'вит дог'!$PGW:$PHD,'вит дог'!$PQI:$PQO,'вит дог'!$PQQ:$PQQ,'вит дог'!$PQS:$PQZ,'вит дог'!$QAE:$QAK,'вит дог'!$QAM:$QAM,'вит дог'!$QAO:$QAV,'вит дог'!$QKA:$QKG,'вит дог'!$QKI:$QKI,'вит дог'!$QKK:$QKR,'вит дог'!$QTW:$QUC,'вит дог'!$QUE:$QUE,'вит дог'!$QUG:$QUN,'вит дог'!$RDS:$RDY,'вит дог'!$REA:$REA,'вит дог'!$REC:$REJ,'вит дог'!$RNO:$RNU,'вит дог'!$RNW:$RNW,'вит дог'!$RNY:$ROF,'вит дог'!$RXK:$RXQ,'вит дог'!$RXS:$RXS,'вит дог'!$RXU:$RYB,'вит дог'!$SHG:$SHM,'вит дог'!$SHO:$SHO,'вит дог'!$SHQ:$SHX,'вит дог'!$SRC:$SRI,'вит дог'!$SRK:$SRK,'вит дог'!$SRM:$SRT,'вит дог'!$TAY:$TBE,'вит дог'!$TBG:$TBG,'вит дог'!$TBI:$TBP,'вит дог'!$TKU:$TLA,'вит дог'!$TLC:$TLC,'вит дог'!$TLE:$TLL,'вит дог'!$TUQ:$TUW,'вит дог'!$TUY:$TUY,'вит дог'!$TVA:$TVH,'вит дог'!$UEM:$UES,'вит дог'!$UEU:$UEU,'вит дог'!$UEW:$UFD,'вит дог'!$UOI:$UOO,'вит дог'!$UOQ:$UOQ,'вит дог'!$UOS:$UOZ,'вит дог'!$UYE:$UYK,'вит дог'!$UYM:$UYM,'вит дог'!$UYO:$UYV,'вит дог'!$VIA:$VIG,'вит дог'!$VII:$VII,'вит дог'!$VIK:$VIR,'вит дог'!$VRW:$VSC,'вит дог'!$VSE:$VSE,'вит дог'!$VSG:$VSN,'вит дог'!$WBS:$WBY,'вит дог'!$WCA:$WCA,'вит дог'!$WCC:$WCJ,'вит дог'!$WLO:$WLU,'вит дог'!$WLW:$WLW,'вит дог'!$WLY:$WMF,'вит дог'!$WVK:$WVQ,'вит дог'!$WVS:$WVS,'вит дог'!$WVU:$WWB</definedName>
    <definedName name="Z_E3DB1A70_74DD_44C5_A9A7_0FA1388C0D1F_.wvu.Cols" localSheetId="6" hidden="1">луг!$B:$L,луг!$P:$T,луг!$IX:$JH,луг!$JL:$JP,луг!$ST:$TD,луг!$TH:$TL,луг!$ACP:$ACZ,луг!$ADD:$ADH,луг!$AML:$AMV,луг!$AMZ:$AND,луг!$AWH:$AWR,луг!$AWV:$AWZ,луг!$BGD:$BGN,луг!$BGR:$BGV,луг!$BPZ:$BQJ,луг!$BQN:$BQR,луг!$BZV:$CAF,луг!$CAJ:$CAN,луг!$CJR:$CKB,луг!$CKF:$CKJ,луг!$CTN:$CTX,луг!$CUB:$CUF,луг!$DDJ:$DDT,луг!$DDX:$DEB,луг!$DNF:$DNP,луг!$DNT:$DNX,луг!$DXB:$DXL,луг!$DXP:$DXT,луг!$EGX:$EHH,луг!$EHL:$EHP,луг!$EQT:$ERD,луг!$ERH:$ERL,луг!$FAP:$FAZ,луг!$FBD:$FBH,луг!$FKL:$FKV,луг!$FKZ:$FLD,луг!$FUH:$FUR,луг!$FUV:$FUZ,луг!$GED:$GEN,луг!$GER:$GEV,луг!$GNZ:$GOJ,луг!$GON:$GOR,луг!$GXV:$GYF,луг!$GYJ:$GYN,луг!$HHR:$HIB,луг!$HIF:$HIJ,луг!$HRN:$HRX,луг!$HSB:$HSF,луг!$IBJ:$IBT,луг!$IBX:$ICB,луг!$ILF:$ILP,луг!$ILT:$ILX,луг!$IVB:$IVL,луг!$IVP:$IVT,луг!$JEX:$JFH,луг!$JFL:$JFP,луг!$JOT:$JPD,луг!$JPH:$JPL,луг!$JYP:$JYZ,луг!$JZD:$JZH,луг!$KIL:$KIV,луг!$KIZ:$KJD,луг!$KSH:$KSR,луг!$KSV:$KSZ,луг!$LCD:$LCN,луг!$LCR:$LCV,луг!$LLZ:$LMJ,луг!$LMN:$LMR,луг!$LVV:$LWF,луг!$LWJ:$LWN,луг!$MFR:$MGB,луг!$MGF:$MGJ,луг!$MPN:$MPX,луг!$MQB:$MQF,луг!$MZJ:$MZT,луг!$MZX:$NAB,луг!$NJF:$NJP,луг!$NJT:$NJX,луг!$NTB:$NTL,луг!$NTP:$NTT,луг!$OCX:$ODH,луг!$ODL:$ODP,луг!$OMT:$OND,луг!$ONH:$ONL,луг!$OWP:$OWZ,луг!$OXD:$OXH,луг!$PGL:$PGV,луг!$PGZ:$PHD,луг!$PQH:$PQR,луг!$PQV:$PQZ,луг!$QAD:$QAN,луг!$QAR:$QAV,луг!$QJZ:$QKJ,луг!$QKN:$QKR,луг!$QTV:$QUF,луг!$QUJ:$QUN,луг!$RDR:$REB,луг!$REF:$REJ,луг!$RNN:$RNX,луг!$ROB:$ROF,луг!$RXJ:$RXT,луг!$RXX:$RYB,луг!$SHF:$SHP,луг!$SHT:$SHX,луг!$SRB:$SRL,луг!$SRP:$SRT,луг!$TAX:$TBH,луг!$TBL:$TBP,луг!$TKT:$TLD,луг!$TLH:$TLL,луг!$TUP:$TUZ,луг!$TVD:$TVH,луг!$UEL:$UEV,луг!$UEZ:$UFD,луг!$UOH:$UOR,луг!$UOV:$UOZ,луг!$UYD:$UYN,луг!$UYR:$UYV,луг!$VHZ:$VIJ,луг!$VIN:$VIR,луг!$VRV:$VSF,луг!$VSJ:$VSN,луг!$WBR:$WCB,луг!$WCF:$WCJ,луг!$WLN:$WLX,луг!$WMB:$WMF,луг!$WVJ:$WVT,луг!$WVX:$WWB</definedName>
    <definedName name="Z_E3DB1A70_74DD_44C5_A9A7_0FA1388C0D1F_.wvu.Cols" localSheetId="7" hidden="1">'луг дог'!$B:$L,'луг дог'!$P:$T,'луг дог'!$IX:$JH,'луг дог'!$JL:$JP,'луг дог'!$ST:$TD,'луг дог'!$TH:$TL,'луг дог'!$ACP:$ACZ,'луг дог'!$ADD:$ADH,'луг дог'!$AML:$AMV,'луг дог'!$AMZ:$AND,'луг дог'!$AWH:$AWR,'луг дог'!$AWV:$AWZ,'луг дог'!$BGD:$BGN,'луг дог'!$BGR:$BGV,'луг дог'!$BPZ:$BQJ,'луг дог'!$BQN:$BQR,'луг дог'!$BZV:$CAF,'луг дог'!$CAJ:$CAN,'луг дог'!$CJR:$CKB,'луг дог'!$CKF:$CKJ,'луг дог'!$CTN:$CTX,'луг дог'!$CUB:$CUF,'луг дог'!$DDJ:$DDT,'луг дог'!$DDX:$DEB,'луг дог'!$DNF:$DNP,'луг дог'!$DNT:$DNX,'луг дог'!$DXB:$DXL,'луг дог'!$DXP:$DXT,'луг дог'!$EGX:$EHH,'луг дог'!$EHL:$EHP,'луг дог'!$EQT:$ERD,'луг дог'!$ERH:$ERL,'луг дог'!$FAP:$FAZ,'луг дог'!$FBD:$FBH,'луг дог'!$FKL:$FKV,'луг дог'!$FKZ:$FLD,'луг дог'!$FUH:$FUR,'луг дог'!$FUV:$FUZ,'луг дог'!$GED:$GEN,'луг дог'!$GER:$GEV,'луг дог'!$GNZ:$GOJ,'луг дог'!$GON:$GOR,'луг дог'!$GXV:$GYF,'луг дог'!$GYJ:$GYN,'луг дог'!$HHR:$HIB,'луг дог'!$HIF:$HIJ,'луг дог'!$HRN:$HRX,'луг дог'!$HSB:$HSF,'луг дог'!$IBJ:$IBT,'луг дог'!$IBX:$ICB,'луг дог'!$ILF:$ILP,'луг дог'!$ILT:$ILX,'луг дог'!$IVB:$IVL,'луг дог'!$IVP:$IVT,'луг дог'!$JEX:$JFH,'луг дог'!$JFL:$JFP,'луг дог'!$JOT:$JPD,'луг дог'!$JPH:$JPL,'луг дог'!$JYP:$JYZ,'луг дог'!$JZD:$JZH,'луг дог'!$KIL:$KIV,'луг дог'!$KIZ:$KJD,'луг дог'!$KSH:$KSR,'луг дог'!$KSV:$KSZ,'луг дог'!$LCD:$LCN,'луг дог'!$LCR:$LCV,'луг дог'!$LLZ:$LMJ,'луг дог'!$LMN:$LMR,'луг дог'!$LVV:$LWF,'луг дог'!$LWJ:$LWN,'луг дог'!$MFR:$MGB,'луг дог'!$MGF:$MGJ,'луг дог'!$MPN:$MPX,'луг дог'!$MQB:$MQF,'луг дог'!$MZJ:$MZT,'луг дог'!$MZX:$NAB,'луг дог'!$NJF:$NJP,'луг дог'!$NJT:$NJX,'луг дог'!$NTB:$NTL,'луг дог'!$NTP:$NTT,'луг дог'!$OCX:$ODH,'луг дог'!$ODL:$ODP,'луг дог'!$OMT:$OND,'луг дог'!$ONH:$ONL,'луг дог'!$OWP:$OWZ,'луг дог'!$OXD:$OXH,'луг дог'!$PGL:$PGV,'луг дог'!$PGZ:$PHD,'луг дог'!$PQH:$PQR,'луг дог'!$PQV:$PQZ,'луг дог'!$QAD:$QAN,'луг дог'!$QAR:$QAV,'луг дог'!$QJZ:$QKJ,'луг дог'!$QKN:$QKR,'луг дог'!$QTV:$QUF,'луг дог'!$QUJ:$QUN,'луг дог'!$RDR:$REB,'луг дог'!$REF:$REJ,'луг дог'!$RNN:$RNX,'луг дог'!$ROB:$ROF,'луг дог'!$RXJ:$RXT,'луг дог'!$RXX:$RYB,'луг дог'!$SHF:$SHP,'луг дог'!$SHT:$SHX,'луг дог'!$SRB:$SRL,'луг дог'!$SRP:$SRT,'луг дог'!$TAX:$TBH,'луг дог'!$TBL:$TBP,'луг дог'!$TKT:$TLD,'луг дог'!$TLH:$TLL,'луг дог'!$TUP:$TUZ,'луг дог'!$TVD:$TVH,'луг дог'!$UEL:$UEV,'луг дог'!$UEZ:$UFD,'луг дог'!$UOH:$UOR,'луг дог'!$UOV:$UOZ,'луг дог'!$UYD:$UYN,'луг дог'!$UYR:$UYV,'луг дог'!$VHZ:$VIJ,'луг дог'!$VIN:$VIR,'луг дог'!$VRV:$VSF,'луг дог'!$VSJ:$VSN,'луг дог'!$WBR:$WCB,'луг дог'!$WCF:$WCJ,'луг дог'!$WLN:$WLX,'луг дог'!$WMB:$WMF,'луг дог'!$WVJ:$WVT,'луг дог'!$WVX:$WWB</definedName>
    <definedName name="Z_E3DB1A70_74DD_44C5_A9A7_0FA1388C0D1F_.wvu.Cols" localSheetId="2" hidden="1">мама!$J:$T,мама!$JF:$JP,мама!$TB:$TL,мама!$ACX:$ADH,мама!$AMT:$AND,мама!$AWP:$AWZ,мама!$BGL:$BGV,мама!$BQH:$BQR,мама!$CAD:$CAN,мама!$CJZ:$CKJ,мама!$CTV:$CUF,мама!$DDR:$DEB,мама!$DNN:$DNX,мама!$DXJ:$DXT,мама!$EHF:$EHP,мама!$ERB:$ERL,мама!$FAX:$FBH,мама!$FKT:$FLD,мама!$FUP:$FUZ,мама!$GEL:$GEV,мама!$GOH:$GOR,мама!$GYD:$GYN,мама!$HHZ:$HIJ,мама!$HRV:$HSF,мама!$IBR:$ICB,мама!$ILN:$ILX,мама!$IVJ:$IVT,мама!$JFF:$JFP,мама!$JPB:$JPL,мама!$JYX:$JZH,мама!$KIT:$KJD,мама!$KSP:$KSZ,мама!$LCL:$LCV,мама!$LMH:$LMR,мама!$LWD:$LWN,мама!$MFZ:$MGJ,мама!$MPV:$MQF,мама!$MZR:$NAB,мама!$NJN:$NJX,мама!$NTJ:$NTT,мама!$ODF:$ODP,мама!$ONB:$ONL,мама!$OWX:$OXH,мама!$PGT:$PHD,мама!$PQP:$PQZ,мама!$QAL:$QAV,мама!$QKH:$QKR,мама!$QUD:$QUN,мама!$RDZ:$REJ,мама!$RNV:$ROF,мама!$RXR:$RYB,мама!$SHN:$SHX,мама!$SRJ:$SRT,мама!$TBF:$TBP,мама!$TLB:$TLL,мама!$TUX:$TVH,мама!$UET:$UFD,мама!$UOP:$UOZ,мама!$UYL:$UYV,мама!$VIH:$VIR,мама!$VSD:$VSN,мама!$WBZ:$WCJ,мама!$WLV:$WMF,мама!$WVR:$WWB</definedName>
    <definedName name="Z_E3DB1A70_74DD_44C5_A9A7_0FA1388C0D1F_.wvu.PrintArea" localSheetId="4" hidden="1">вит!$A$1:$L$43</definedName>
    <definedName name="Z_E3DB1A70_74DD_44C5_A9A7_0FA1388C0D1F_.wvu.PrintArea" localSheetId="5" hidden="1">'вит дог'!$A$1:$L$43</definedName>
    <definedName name="Z_E3DB1A70_74DD_44C5_A9A7_0FA1388C0D1F_.wvu.PrintArea" localSheetId="6" hidden="1">луг!$A$1:$R$41</definedName>
    <definedName name="Z_E3DB1A70_74DD_44C5_A9A7_0FA1388C0D1F_.wvu.PrintArea" localSheetId="7" hidden="1">'луг дог'!$A$1:$R$41</definedName>
    <definedName name="Z_E3DB1A70_74DD_44C5_A9A7_0FA1388C0D1F_.wvu.PrintArea" localSheetId="2" hidden="1">мама!$A$1:$I$43</definedName>
    <definedName name="Z_E3DB1A70_74DD_44C5_A9A7_0FA1388C0D1F_.wvu.Rows" localSheetId="4" hidden="1">вит!$7:$8</definedName>
    <definedName name="Z_E3DB1A70_74DD_44C5_A9A7_0FA1388C0D1F_.wvu.Rows" localSheetId="5" hidden="1">'вит дог'!$7:$8</definedName>
    <definedName name="_xlnm.Print_Area" localSheetId="4">вит!$A$1:$L$43</definedName>
    <definedName name="_xlnm.Print_Area" localSheetId="5">'вит дог'!$A$1:$L$43</definedName>
    <definedName name="_xlnm.Print_Area" localSheetId="6">луг!$A$1:$R$41</definedName>
    <definedName name="_xlnm.Print_Area" localSheetId="7">'луг дог'!$A$1:$R$41</definedName>
    <definedName name="_xlnm.Print_Area" localSheetId="2">мама!$A$1:$I$43</definedName>
  </definedNames>
  <calcPr calcId="191029"/>
  <customWorkbookViews>
    <customWorkbookView name="Пользователь Windows - Личное представление" guid="{4F83E3D9-05C9-45DD-BE29-5010E4EF885C}" mergeInterval="0" personalView="1" maximized="1" windowWidth="2556" windowHeight="1114" activeSheetId="2"/>
    <customWorkbookView name="user - Личное представление" guid="{E3DB1A70-74DD-44C5-A9A7-0FA1388C0D1F}" mergeInterval="0" personalView="1" maximized="1" xWindow="-8" yWindow="-8" windowWidth="1936" windowHeight="1056" activeSheetId="3"/>
  </customWorkbookViews>
</workbook>
</file>

<file path=xl/calcChain.xml><?xml version="1.0" encoding="utf-8"?>
<calcChain xmlns="http://schemas.openxmlformats.org/spreadsheetml/2006/main">
  <c r="J7" i="3" l="1"/>
  <c r="O7" i="3" s="1"/>
  <c r="O8" i="3"/>
  <c r="L8" i="3" s="1"/>
  <c r="M8" i="3" s="1"/>
  <c r="O9" i="3"/>
  <c r="L9" i="3" s="1"/>
  <c r="M9" i="3" s="1"/>
  <c r="Q9" i="3"/>
  <c r="J10" i="3"/>
  <c r="O10" i="3" s="1"/>
  <c r="O11" i="3"/>
  <c r="L11" i="3" s="1"/>
  <c r="M11" i="3" s="1"/>
  <c r="J12" i="3"/>
  <c r="O12" i="3" s="1"/>
  <c r="O13" i="3"/>
  <c r="L13" i="3" s="1"/>
  <c r="M13" i="3" s="1"/>
  <c r="J14" i="3"/>
  <c r="O14" i="3" s="1"/>
  <c r="L14" i="3" s="1"/>
  <c r="M14" i="3" s="1"/>
  <c r="J15" i="3"/>
  <c r="O15" i="3" s="1"/>
  <c r="O16" i="3"/>
  <c r="L16" i="3" s="1"/>
  <c r="M16" i="3" s="1"/>
  <c r="J17" i="3"/>
  <c r="O17" i="3"/>
  <c r="L17" i="3" s="1"/>
  <c r="M17" i="3" s="1"/>
  <c r="J18" i="3"/>
  <c r="O18" i="3" s="1"/>
  <c r="J19" i="3"/>
  <c r="O19" i="3" s="1"/>
  <c r="J20" i="3"/>
  <c r="O20" i="3" s="1"/>
  <c r="O21" i="3"/>
  <c r="L21" i="3" s="1"/>
  <c r="M21" i="3" s="1"/>
  <c r="O22" i="3"/>
  <c r="L22" i="3" s="1"/>
  <c r="M22" i="3" s="1"/>
  <c r="O23" i="3"/>
  <c r="L23" i="3" s="1"/>
  <c r="M23" i="3" s="1"/>
  <c r="J24" i="3"/>
  <c r="O24" i="3" s="1"/>
  <c r="J25" i="3"/>
  <c r="O25" i="3" s="1"/>
  <c r="J26" i="3"/>
  <c r="O26" i="3" s="1"/>
  <c r="L26" i="3" s="1"/>
  <c r="M26" i="3" s="1"/>
  <c r="J27" i="3"/>
  <c r="O27" i="3" s="1"/>
  <c r="J28" i="3"/>
  <c r="O28" i="3" s="1"/>
  <c r="J29" i="3"/>
  <c r="O29" i="3" s="1"/>
  <c r="J30" i="3"/>
  <c r="O30" i="3"/>
  <c r="L30" i="3" s="1"/>
  <c r="M30" i="3" s="1"/>
  <c r="J31" i="3"/>
  <c r="O31" i="3" s="1"/>
  <c r="O32" i="3"/>
  <c r="L32" i="3" s="1"/>
  <c r="M32" i="3" s="1"/>
  <c r="J33" i="3"/>
  <c r="O33" i="3" s="1"/>
  <c r="L33" i="3" s="1"/>
  <c r="M33" i="3" s="1"/>
  <c r="J34" i="3"/>
  <c r="O34" i="3"/>
  <c r="L34" i="3" s="1"/>
  <c r="M34" i="3" s="1"/>
  <c r="J35" i="3"/>
  <c r="O35" i="3" s="1"/>
  <c r="O36" i="3"/>
  <c r="L36" i="3" s="1"/>
  <c r="M36" i="3" s="1"/>
  <c r="O37" i="3"/>
  <c r="L37" i="3" s="1"/>
  <c r="M37" i="3" s="1"/>
  <c r="O38" i="3"/>
  <c r="L38" i="3" s="1"/>
  <c r="M38" i="3" s="1"/>
  <c r="J39" i="3"/>
  <c r="O39" i="3"/>
  <c r="L39" i="3" s="1"/>
  <c r="M39" i="3" s="1"/>
  <c r="J40" i="3"/>
  <c r="O40" i="3" s="1"/>
  <c r="J41" i="3"/>
  <c r="O41" i="3" s="1"/>
  <c r="H42" i="3"/>
  <c r="G42" i="3" s="1"/>
  <c r="J42" i="3"/>
  <c r="J43" i="3"/>
  <c r="O43" i="3"/>
  <c r="L43" i="3" s="1"/>
  <c r="M43" i="3" s="1"/>
  <c r="J44" i="3"/>
  <c r="O44" i="3" s="1"/>
  <c r="O45" i="3"/>
  <c r="L45" i="3" s="1"/>
  <c r="M45" i="3" s="1"/>
  <c r="E7" i="3"/>
  <c r="G7" i="3"/>
  <c r="E8" i="3"/>
  <c r="G8" i="3"/>
  <c r="I8" i="3"/>
  <c r="E9" i="3"/>
  <c r="N9" i="3" s="1"/>
  <c r="P9" i="3" s="1"/>
  <c r="G9" i="3"/>
  <c r="I9" i="3"/>
  <c r="E10" i="3"/>
  <c r="N10" i="3" s="1"/>
  <c r="P10" i="3" s="1"/>
  <c r="G10" i="3"/>
  <c r="E11" i="3"/>
  <c r="G11" i="3"/>
  <c r="I11" i="3"/>
  <c r="E12" i="3"/>
  <c r="G12" i="3"/>
  <c r="N12" i="3" s="1"/>
  <c r="P12" i="3" s="1"/>
  <c r="E13" i="3"/>
  <c r="G13" i="3"/>
  <c r="I13" i="3"/>
  <c r="E14" i="3"/>
  <c r="G14" i="3"/>
  <c r="E15" i="3"/>
  <c r="G15" i="3"/>
  <c r="E16" i="3"/>
  <c r="G16" i="3"/>
  <c r="I16" i="3"/>
  <c r="E17" i="3"/>
  <c r="G17" i="3"/>
  <c r="E18" i="3"/>
  <c r="G18" i="3"/>
  <c r="E19" i="3"/>
  <c r="G19" i="3"/>
  <c r="E20" i="3"/>
  <c r="G20" i="3"/>
  <c r="E21" i="3"/>
  <c r="G21" i="3"/>
  <c r="I21" i="3"/>
  <c r="E22" i="3"/>
  <c r="G22" i="3"/>
  <c r="I22" i="3"/>
  <c r="E23" i="3"/>
  <c r="G23" i="3"/>
  <c r="I23" i="3"/>
  <c r="E24" i="3"/>
  <c r="G24" i="3"/>
  <c r="E25" i="3"/>
  <c r="G25" i="3"/>
  <c r="E26" i="3"/>
  <c r="G26" i="3"/>
  <c r="E27" i="3"/>
  <c r="G27" i="3"/>
  <c r="E28" i="3"/>
  <c r="G28" i="3"/>
  <c r="E29" i="3"/>
  <c r="G29" i="3"/>
  <c r="E30" i="3"/>
  <c r="G30" i="3"/>
  <c r="E31" i="3"/>
  <c r="G31" i="3"/>
  <c r="E32" i="3"/>
  <c r="G32" i="3"/>
  <c r="I32" i="3"/>
  <c r="E33" i="3"/>
  <c r="G33" i="3"/>
  <c r="E34" i="3"/>
  <c r="G34" i="3"/>
  <c r="E35" i="3"/>
  <c r="G35" i="3"/>
  <c r="E36" i="3"/>
  <c r="N36" i="3" s="1"/>
  <c r="P36" i="3" s="1"/>
  <c r="G36" i="3"/>
  <c r="I36" i="3"/>
  <c r="E37" i="3"/>
  <c r="G37" i="3"/>
  <c r="I37" i="3"/>
  <c r="E38" i="3"/>
  <c r="G38" i="3"/>
  <c r="I38" i="3"/>
  <c r="E39" i="3"/>
  <c r="G39" i="3"/>
  <c r="E40" i="3"/>
  <c r="G40" i="3"/>
  <c r="E41" i="3"/>
  <c r="G41" i="3"/>
  <c r="E42" i="3"/>
  <c r="E43" i="3"/>
  <c r="N43" i="3" s="1"/>
  <c r="P43" i="3" s="1"/>
  <c r="G43" i="3"/>
  <c r="E44" i="3"/>
  <c r="G44" i="3"/>
  <c r="E45" i="3"/>
  <c r="N45" i="3" s="1"/>
  <c r="P45" i="3" s="1"/>
  <c r="G45" i="3"/>
  <c r="I45" i="3"/>
  <c r="O2" i="1"/>
  <c r="P2" i="1" s="1"/>
  <c r="Q2" i="1" s="1"/>
  <c r="M8" i="1"/>
  <c r="K4" i="1"/>
  <c r="M4" i="1" s="1"/>
  <c r="D10" i="1"/>
  <c r="K5" i="1"/>
  <c r="F5" i="1" s="1"/>
  <c r="E5" i="1" s="1"/>
  <c r="K6" i="1"/>
  <c r="F6" i="1" s="1"/>
  <c r="G6" i="1" s="1"/>
  <c r="K7" i="1"/>
  <c r="K9" i="1"/>
  <c r="K10" i="1"/>
  <c r="K11" i="1"/>
  <c r="M11" i="1" s="1"/>
  <c r="K12" i="1"/>
  <c r="K13" i="1"/>
  <c r="M13" i="1" s="1"/>
  <c r="F4" i="1"/>
  <c r="F13" i="1"/>
  <c r="F9" i="1"/>
  <c r="M9" i="1"/>
  <c r="F12" i="1"/>
  <c r="M12" i="1"/>
  <c r="F7" i="1"/>
  <c r="M7" i="1"/>
  <c r="F11" i="1"/>
  <c r="M6" i="1"/>
  <c r="M5" i="1"/>
  <c r="B23" i="1"/>
  <c r="C18" i="1" s="1"/>
  <c r="E18" i="1" s="1"/>
  <c r="E4" i="1"/>
  <c r="C17" i="1"/>
  <c r="E17" i="1" s="1"/>
  <c r="C21" i="1"/>
  <c r="E21" i="1" s="1"/>
  <c r="E13" i="1"/>
  <c r="E12" i="1"/>
  <c r="E11" i="1"/>
  <c r="E9" i="1"/>
  <c r="E7" i="1"/>
  <c r="G13" i="1"/>
  <c r="G11" i="1"/>
  <c r="G4" i="1"/>
  <c r="G9" i="1"/>
  <c r="G7" i="1"/>
  <c r="G12" i="1"/>
  <c r="J9" i="11"/>
  <c r="J40" i="11" s="1"/>
  <c r="L9" i="11"/>
  <c r="T9" i="11" s="1"/>
  <c r="K43" i="11"/>
  <c r="J41" i="11"/>
  <c r="L41" i="11"/>
  <c r="H41" i="11"/>
  <c r="G41" i="11"/>
  <c r="F41" i="11"/>
  <c r="E41" i="11"/>
  <c r="D41" i="11"/>
  <c r="C41" i="11"/>
  <c r="T39" i="11"/>
  <c r="J36" i="11"/>
  <c r="J37" i="11" s="1"/>
  <c r="L37" i="11" s="1"/>
  <c r="H36" i="11"/>
  <c r="H37" i="11"/>
  <c r="G36" i="11"/>
  <c r="G37" i="11"/>
  <c r="F36" i="11"/>
  <c r="F37" i="11"/>
  <c r="E36" i="11"/>
  <c r="E37" i="11"/>
  <c r="D36" i="11"/>
  <c r="D37" i="11"/>
  <c r="C36" i="11"/>
  <c r="I36" i="11" s="1"/>
  <c r="C37" i="11"/>
  <c r="I37" i="11" s="1"/>
  <c r="J35" i="11"/>
  <c r="J31" i="11"/>
  <c r="L31" i="11"/>
  <c r="H31" i="11"/>
  <c r="G31" i="11"/>
  <c r="F31" i="11"/>
  <c r="E31" i="11"/>
  <c r="D31" i="11"/>
  <c r="C31" i="11"/>
  <c r="R24" i="11"/>
  <c r="Q24" i="11"/>
  <c r="Q26" i="11" s="1"/>
  <c r="Q28" i="11" s="1"/>
  <c r="P24" i="11"/>
  <c r="N24" i="11"/>
  <c r="M24" i="11"/>
  <c r="J24" i="11"/>
  <c r="J26" i="11" s="1"/>
  <c r="H24" i="11"/>
  <c r="G24" i="11"/>
  <c r="F24" i="11"/>
  <c r="E24" i="11"/>
  <c r="D24" i="11"/>
  <c r="C24" i="11"/>
  <c r="R23" i="11"/>
  <c r="R26" i="11"/>
  <c r="R28" i="11" s="1"/>
  <c r="Q23" i="11"/>
  <c r="P23" i="11"/>
  <c r="P26" i="11"/>
  <c r="P28" i="11"/>
  <c r="N21" i="11"/>
  <c r="N23" i="11" s="1"/>
  <c r="N26" i="11" s="1"/>
  <c r="M21" i="11"/>
  <c r="J21" i="11"/>
  <c r="H21" i="11"/>
  <c r="G21" i="11"/>
  <c r="F21" i="11"/>
  <c r="E21" i="11"/>
  <c r="D21" i="11"/>
  <c r="D23" i="11" s="1"/>
  <c r="D26" i="11" s="1"/>
  <c r="D28" i="11" s="1"/>
  <c r="C21" i="11"/>
  <c r="M19" i="11"/>
  <c r="M23" i="11"/>
  <c r="M26" i="11"/>
  <c r="M28" i="11" s="1"/>
  <c r="J19" i="11"/>
  <c r="J23" i="11"/>
  <c r="H19" i="11"/>
  <c r="G19" i="11"/>
  <c r="G23" i="11"/>
  <c r="G26" i="11" s="1"/>
  <c r="G28" i="11" s="1"/>
  <c r="F19" i="11"/>
  <c r="F23" i="11" s="1"/>
  <c r="F26" i="11" s="1"/>
  <c r="F28" i="11" s="1"/>
  <c r="E19" i="11"/>
  <c r="E23" i="11" s="1"/>
  <c r="E26" i="11" s="1"/>
  <c r="E28" i="11" s="1"/>
  <c r="D19" i="11"/>
  <c r="C19" i="11"/>
  <c r="C23" i="11" s="1"/>
  <c r="C26" i="11" s="1"/>
  <c r="C28" i="11" s="1"/>
  <c r="J14" i="11"/>
  <c r="L14" i="11"/>
  <c r="C14" i="11"/>
  <c r="D14" i="11" s="1"/>
  <c r="E14" i="11" s="1"/>
  <c r="F14" i="11" s="1"/>
  <c r="G14" i="11" s="1"/>
  <c r="H14" i="11" s="1"/>
  <c r="J11" i="11"/>
  <c r="R9" i="11"/>
  <c r="R40" i="11"/>
  <c r="Q9" i="11"/>
  <c r="Q12" i="11"/>
  <c r="P9" i="11"/>
  <c r="N9" i="11"/>
  <c r="N8" i="11" s="1"/>
  <c r="O8" i="11" s="1"/>
  <c r="N40" i="11"/>
  <c r="N42" i="11"/>
  <c r="M9" i="11"/>
  <c r="M12" i="11"/>
  <c r="I9" i="11"/>
  <c r="E9" i="11" s="1"/>
  <c r="H9" i="11"/>
  <c r="O9" i="13"/>
  <c r="M9" i="13" s="1"/>
  <c r="O40" i="13"/>
  <c r="H38" i="13"/>
  <c r="G38" i="13"/>
  <c r="F38" i="13"/>
  <c r="E38" i="13"/>
  <c r="D38" i="13"/>
  <c r="C38" i="13"/>
  <c r="I38" i="13"/>
  <c r="M36" i="13"/>
  <c r="N36" i="13" s="1"/>
  <c r="O36" i="13" s="1"/>
  <c r="H36" i="13"/>
  <c r="G36" i="13"/>
  <c r="G37" i="13" s="1"/>
  <c r="F36" i="13"/>
  <c r="E36" i="13"/>
  <c r="D36" i="13"/>
  <c r="C36" i="13"/>
  <c r="C37" i="13" s="1"/>
  <c r="T34" i="13"/>
  <c r="M31" i="13"/>
  <c r="H31" i="13"/>
  <c r="G31" i="13"/>
  <c r="F31" i="13"/>
  <c r="E31" i="13"/>
  <c r="D31" i="13"/>
  <c r="C31" i="13"/>
  <c r="R24" i="13"/>
  <c r="Q24" i="13"/>
  <c r="P24" i="13"/>
  <c r="N24" i="13"/>
  <c r="M24" i="13"/>
  <c r="K24" i="13"/>
  <c r="J24" i="13"/>
  <c r="H24" i="13"/>
  <c r="G24" i="13"/>
  <c r="F24" i="13"/>
  <c r="E24" i="13"/>
  <c r="D24" i="13"/>
  <c r="C24" i="13"/>
  <c r="R23" i="13"/>
  <c r="Q23" i="13"/>
  <c r="Q26" i="13" s="1"/>
  <c r="Q28" i="13" s="1"/>
  <c r="P23" i="13"/>
  <c r="P26" i="13" s="1"/>
  <c r="P28" i="13" s="1"/>
  <c r="N21" i="13"/>
  <c r="N23" i="13"/>
  <c r="M21" i="13"/>
  <c r="K21" i="13"/>
  <c r="K23" i="13" s="1"/>
  <c r="J21" i="13"/>
  <c r="H21" i="13"/>
  <c r="G21" i="13"/>
  <c r="F21" i="13"/>
  <c r="F23" i="13" s="1"/>
  <c r="F26" i="13" s="1"/>
  <c r="F28" i="13" s="1"/>
  <c r="E21" i="13"/>
  <c r="D21" i="13"/>
  <c r="C21" i="13"/>
  <c r="C23" i="13" s="1"/>
  <c r="C26" i="13" s="1"/>
  <c r="C28" i="13" s="1"/>
  <c r="C18" i="13" s="1"/>
  <c r="M19" i="13"/>
  <c r="M23" i="13" s="1"/>
  <c r="M26" i="13" s="1"/>
  <c r="M28" i="13" s="1"/>
  <c r="K19" i="13"/>
  <c r="J19" i="13"/>
  <c r="J23" i="13" s="1"/>
  <c r="J26" i="13" s="1"/>
  <c r="H19" i="13"/>
  <c r="H23" i="13" s="1"/>
  <c r="H26" i="13" s="1"/>
  <c r="H28" i="13" s="1"/>
  <c r="H18" i="13" s="1"/>
  <c r="H32" i="13" s="1"/>
  <c r="G19" i="13"/>
  <c r="F19" i="13"/>
  <c r="E19" i="13"/>
  <c r="D19" i="13"/>
  <c r="D23" i="13" s="1"/>
  <c r="C19" i="13"/>
  <c r="M14" i="13"/>
  <c r="N14" i="13"/>
  <c r="O14" i="13" s="1"/>
  <c r="C14" i="13"/>
  <c r="D14" i="13"/>
  <c r="E14" i="13"/>
  <c r="F14" i="13" s="1"/>
  <c r="G14" i="13" s="1"/>
  <c r="H14" i="13" s="1"/>
  <c r="R9" i="13"/>
  <c r="Q9" i="13"/>
  <c r="S9" i="13" s="1"/>
  <c r="Q35" i="13"/>
  <c r="P9" i="13"/>
  <c r="K9" i="13"/>
  <c r="J9" i="13"/>
  <c r="J35" i="13" s="1"/>
  <c r="J37" i="13" s="1"/>
  <c r="J12" i="13"/>
  <c r="I9" i="13"/>
  <c r="F9" i="13"/>
  <c r="F8" i="13" s="1"/>
  <c r="F35" i="13"/>
  <c r="N28" i="11"/>
  <c r="N18" i="11" s="1"/>
  <c r="F37" i="13"/>
  <c r="K26" i="13"/>
  <c r="K28" i="13" s="1"/>
  <c r="E23" i="13"/>
  <c r="E26" i="13"/>
  <c r="E28" i="13" s="1"/>
  <c r="J28" i="13"/>
  <c r="C9" i="13"/>
  <c r="C35" i="13"/>
  <c r="G9" i="13"/>
  <c r="G35" i="13"/>
  <c r="G23" i="13"/>
  <c r="G26" i="13" s="1"/>
  <c r="G28" i="13" s="1"/>
  <c r="G18" i="13" s="1"/>
  <c r="G32" i="13" s="1"/>
  <c r="R26" i="13"/>
  <c r="R28" i="13"/>
  <c r="J8" i="13"/>
  <c r="D9" i="13"/>
  <c r="D12" i="13"/>
  <c r="D13" i="13"/>
  <c r="D9" i="11"/>
  <c r="D12" i="11"/>
  <c r="D29" i="11" s="1"/>
  <c r="H9" i="13"/>
  <c r="H12" i="13"/>
  <c r="H29" i="13"/>
  <c r="F9" i="11"/>
  <c r="F40" i="11"/>
  <c r="F42" i="11"/>
  <c r="J28" i="11"/>
  <c r="N26" i="13"/>
  <c r="N28" i="13" s="1"/>
  <c r="R8" i="11"/>
  <c r="M29" i="11"/>
  <c r="M13" i="11"/>
  <c r="D13" i="11"/>
  <c r="Q29" i="11"/>
  <c r="Q13" i="11"/>
  <c r="Q16" i="11" s="1"/>
  <c r="M8" i="11"/>
  <c r="Q8" i="11"/>
  <c r="C9" i="11"/>
  <c r="G9" i="11"/>
  <c r="G12" i="11" s="1"/>
  <c r="G13" i="11" s="1"/>
  <c r="N12" i="11"/>
  <c r="O12" i="11"/>
  <c r="R12" i="11"/>
  <c r="S12" i="11"/>
  <c r="M40" i="11"/>
  <c r="Q40" i="11"/>
  <c r="O9" i="11"/>
  <c r="S9" i="11"/>
  <c r="P12" i="13"/>
  <c r="P8" i="13"/>
  <c r="P35" i="13"/>
  <c r="P37" i="13" s="1"/>
  <c r="Q8" i="13"/>
  <c r="E9" i="13"/>
  <c r="F12" i="13"/>
  <c r="Q12" i="13"/>
  <c r="Q13" i="13" s="1"/>
  <c r="K71" i="14"/>
  <c r="K45" i="14"/>
  <c r="K18" i="14"/>
  <c r="O40" i="12"/>
  <c r="H38" i="12"/>
  <c r="G38" i="12"/>
  <c r="F38" i="12"/>
  <c r="E38" i="12"/>
  <c r="D38" i="12"/>
  <c r="C38" i="12"/>
  <c r="I38" i="12"/>
  <c r="M36" i="12"/>
  <c r="N36" i="12"/>
  <c r="O36" i="12" s="1"/>
  <c r="H36" i="12"/>
  <c r="G36" i="12"/>
  <c r="F36" i="12"/>
  <c r="E36" i="12"/>
  <c r="D36" i="12"/>
  <c r="C36" i="12"/>
  <c r="T34" i="12"/>
  <c r="M31" i="12"/>
  <c r="H31" i="12"/>
  <c r="G31" i="12"/>
  <c r="F31" i="12"/>
  <c r="E31" i="12"/>
  <c r="D31" i="12"/>
  <c r="C31" i="12"/>
  <c r="R24" i="12"/>
  <c r="Q24" i="12"/>
  <c r="P24" i="12"/>
  <c r="N24" i="12"/>
  <c r="M24" i="12"/>
  <c r="K24" i="12"/>
  <c r="J24" i="12"/>
  <c r="H24" i="12"/>
  <c r="G24" i="12"/>
  <c r="F24" i="12"/>
  <c r="E24" i="12"/>
  <c r="D24" i="12"/>
  <c r="C24" i="12"/>
  <c r="R23" i="12"/>
  <c r="Q23" i="12"/>
  <c r="P23" i="12"/>
  <c r="N21" i="12"/>
  <c r="N23" i="12" s="1"/>
  <c r="M21" i="12"/>
  <c r="K21" i="12"/>
  <c r="J21" i="12"/>
  <c r="J23" i="12" s="1"/>
  <c r="H21" i="12"/>
  <c r="G21" i="12"/>
  <c r="F21" i="12"/>
  <c r="E21" i="12"/>
  <c r="E23" i="12" s="1"/>
  <c r="D21" i="12"/>
  <c r="C21" i="12"/>
  <c r="M19" i="12"/>
  <c r="M23" i="12" s="1"/>
  <c r="K19" i="12"/>
  <c r="J19" i="12"/>
  <c r="H19" i="12"/>
  <c r="G19" i="12"/>
  <c r="G23" i="12" s="1"/>
  <c r="G26" i="12" s="1"/>
  <c r="F19" i="12"/>
  <c r="E19" i="12"/>
  <c r="D19" i="12"/>
  <c r="D23" i="12" s="1"/>
  <c r="C19" i="12"/>
  <c r="M14" i="12"/>
  <c r="N14" i="12"/>
  <c r="O14" i="12"/>
  <c r="C14" i="12"/>
  <c r="D14" i="12"/>
  <c r="E14" i="12"/>
  <c r="F14" i="12"/>
  <c r="G14" i="12" s="1"/>
  <c r="H14" i="12" s="1"/>
  <c r="R9" i="12"/>
  <c r="R8" i="12" s="1"/>
  <c r="S8" i="12" s="1"/>
  <c r="R35" i="12"/>
  <c r="R37" i="12" s="1"/>
  <c r="Q9" i="12"/>
  <c r="Q12" i="12"/>
  <c r="P9" i="12"/>
  <c r="K9" i="12"/>
  <c r="K35" i="12"/>
  <c r="K37" i="12" s="1"/>
  <c r="J9" i="12"/>
  <c r="J12" i="12"/>
  <c r="I9" i="12"/>
  <c r="K43" i="10"/>
  <c r="J41" i="10"/>
  <c r="L41" i="10" s="1"/>
  <c r="H41" i="10"/>
  <c r="G41" i="10"/>
  <c r="F41" i="10"/>
  <c r="E41" i="10"/>
  <c r="D41" i="10"/>
  <c r="C41" i="10"/>
  <c r="T39" i="10"/>
  <c r="J36" i="10"/>
  <c r="H36" i="10"/>
  <c r="H37" i="10"/>
  <c r="G36" i="10"/>
  <c r="G37" i="10" s="1"/>
  <c r="F36" i="10"/>
  <c r="F37" i="10"/>
  <c r="E36" i="10"/>
  <c r="E37" i="10" s="1"/>
  <c r="D36" i="10"/>
  <c r="D37" i="10"/>
  <c r="C36" i="10"/>
  <c r="J35" i="10"/>
  <c r="J31" i="10"/>
  <c r="L31" i="10" s="1"/>
  <c r="H31" i="10"/>
  <c r="G31" i="10"/>
  <c r="F31" i="10"/>
  <c r="E31" i="10"/>
  <c r="D31" i="10"/>
  <c r="C31" i="10"/>
  <c r="R24" i="10"/>
  <c r="Q24" i="10"/>
  <c r="P24" i="10"/>
  <c r="N24" i="10"/>
  <c r="N26" i="10" s="1"/>
  <c r="N28" i="10" s="1"/>
  <c r="M24" i="10"/>
  <c r="J24" i="10"/>
  <c r="H24" i="10"/>
  <c r="G24" i="10"/>
  <c r="G26" i="10" s="1"/>
  <c r="F24" i="10"/>
  <c r="E24" i="10"/>
  <c r="D24" i="10"/>
  <c r="C24" i="10"/>
  <c r="R23" i="10"/>
  <c r="R26" i="10" s="1"/>
  <c r="R28" i="10" s="1"/>
  <c r="Q23" i="10"/>
  <c r="Q26" i="10"/>
  <c r="Q28" i="10" s="1"/>
  <c r="P23" i="10"/>
  <c r="P26" i="10"/>
  <c r="P28" i="10"/>
  <c r="N21" i="10"/>
  <c r="N23" i="10"/>
  <c r="M21" i="10"/>
  <c r="J21" i="10"/>
  <c r="J23" i="10" s="1"/>
  <c r="H21" i="10"/>
  <c r="G21" i="10"/>
  <c r="F21" i="10"/>
  <c r="E21" i="10"/>
  <c r="E23" i="10" s="1"/>
  <c r="D21" i="10"/>
  <c r="C21" i="10"/>
  <c r="M19" i="10"/>
  <c r="M23" i="10"/>
  <c r="M26" i="10" s="1"/>
  <c r="J19" i="10"/>
  <c r="H19" i="10"/>
  <c r="H23" i="10" s="1"/>
  <c r="H26" i="10" s="1"/>
  <c r="H28" i="10" s="1"/>
  <c r="G19" i="10"/>
  <c r="G23" i="10"/>
  <c r="F19" i="10"/>
  <c r="F23" i="10" s="1"/>
  <c r="F26" i="10" s="1"/>
  <c r="F28" i="10" s="1"/>
  <c r="F18" i="10" s="1"/>
  <c r="F32" i="10" s="1"/>
  <c r="E19" i="10"/>
  <c r="E26" i="10"/>
  <c r="E28" i="10"/>
  <c r="D19" i="10"/>
  <c r="D23" i="10"/>
  <c r="C19" i="10"/>
  <c r="C23" i="10"/>
  <c r="C26" i="10" s="1"/>
  <c r="C28" i="10" s="1"/>
  <c r="C18" i="10" s="1"/>
  <c r="J14" i="10"/>
  <c r="L14" i="10"/>
  <c r="C14" i="10"/>
  <c r="D14" i="10"/>
  <c r="E14" i="10" s="1"/>
  <c r="F14" i="10" s="1"/>
  <c r="G14" i="10" s="1"/>
  <c r="H14" i="10" s="1"/>
  <c r="J11" i="10"/>
  <c r="R9" i="10"/>
  <c r="R8" i="10"/>
  <c r="Q9" i="10"/>
  <c r="Q40" i="10" s="1"/>
  <c r="P9" i="10"/>
  <c r="P40" i="10"/>
  <c r="P42" i="10" s="1"/>
  <c r="N9" i="10"/>
  <c r="N8" i="10"/>
  <c r="M9" i="10"/>
  <c r="I9" i="10"/>
  <c r="F9" i="10"/>
  <c r="C2" i="9"/>
  <c r="D2" i="9" s="1"/>
  <c r="A2" i="9"/>
  <c r="C41" i="8"/>
  <c r="G41" i="8"/>
  <c r="T39" i="8"/>
  <c r="C36" i="8"/>
  <c r="E36" i="8"/>
  <c r="G36" i="8"/>
  <c r="I35" i="8"/>
  <c r="C31" i="8"/>
  <c r="H31" i="8"/>
  <c r="R24" i="8"/>
  <c r="Q24" i="8"/>
  <c r="P24" i="8"/>
  <c r="N24" i="8"/>
  <c r="M24" i="8"/>
  <c r="K24" i="8"/>
  <c r="J24" i="8"/>
  <c r="H24" i="8"/>
  <c r="G24" i="8"/>
  <c r="F24" i="8"/>
  <c r="E24" i="8"/>
  <c r="D24" i="8"/>
  <c r="C24" i="8"/>
  <c r="C26" i="8" s="1"/>
  <c r="C28" i="8" s="1"/>
  <c r="R23" i="8"/>
  <c r="Q23" i="8"/>
  <c r="P23" i="8"/>
  <c r="N21" i="8"/>
  <c r="N23" i="8" s="1"/>
  <c r="M21" i="8"/>
  <c r="K21" i="8"/>
  <c r="J21" i="8"/>
  <c r="H21" i="8"/>
  <c r="G21" i="8"/>
  <c r="F21" i="8"/>
  <c r="E21" i="8"/>
  <c r="D21" i="8"/>
  <c r="C21" i="8"/>
  <c r="M19" i="8"/>
  <c r="M23" i="8" s="1"/>
  <c r="K19" i="8"/>
  <c r="J19" i="8"/>
  <c r="H19" i="8"/>
  <c r="H23" i="8" s="1"/>
  <c r="H26" i="8" s="1"/>
  <c r="H28" i="8" s="1"/>
  <c r="G19" i="8"/>
  <c r="G23" i="8" s="1"/>
  <c r="F19" i="8"/>
  <c r="F23" i="8" s="1"/>
  <c r="F26" i="8" s="1"/>
  <c r="F28" i="8" s="1"/>
  <c r="E19" i="8"/>
  <c r="D19" i="8"/>
  <c r="C19" i="8"/>
  <c r="C23" i="8" s="1"/>
  <c r="C14" i="8"/>
  <c r="D14" i="8" s="1"/>
  <c r="E14" i="8" s="1"/>
  <c r="F14" i="8"/>
  <c r="G14" i="8"/>
  <c r="H14" i="8" s="1"/>
  <c r="R9" i="8"/>
  <c r="R12" i="8"/>
  <c r="Q9" i="8"/>
  <c r="Q12" i="8" s="1"/>
  <c r="Q13" i="8" s="1"/>
  <c r="P9" i="8"/>
  <c r="P12" i="8"/>
  <c r="P13" i="8"/>
  <c r="N9" i="8"/>
  <c r="N12" i="8" s="1"/>
  <c r="N29" i="8" s="1"/>
  <c r="M9" i="8"/>
  <c r="K9" i="8"/>
  <c r="K8" i="8" s="1"/>
  <c r="K40" i="8"/>
  <c r="K42" i="8" s="1"/>
  <c r="J9" i="8"/>
  <c r="J12" i="8"/>
  <c r="J29" i="8" s="1"/>
  <c r="I9" i="8"/>
  <c r="E9" i="8" s="1"/>
  <c r="E12" i="8" s="1"/>
  <c r="E13" i="8" s="1"/>
  <c r="E15" i="8" s="1"/>
  <c r="E16" i="8" s="1"/>
  <c r="J26" i="10"/>
  <c r="J28" i="10" s="1"/>
  <c r="K23" i="8"/>
  <c r="N26" i="8"/>
  <c r="N28" i="8" s="1"/>
  <c r="N18" i="8" s="1"/>
  <c r="N32" i="8" s="1"/>
  <c r="G12" i="13"/>
  <c r="G29" i="13" s="1"/>
  <c r="K26" i="8"/>
  <c r="K28" i="8" s="1"/>
  <c r="G8" i="13"/>
  <c r="H13" i="13"/>
  <c r="H35" i="13"/>
  <c r="H37" i="13"/>
  <c r="H8" i="13"/>
  <c r="E8" i="11"/>
  <c r="C12" i="13"/>
  <c r="C13" i="13"/>
  <c r="D29" i="13"/>
  <c r="D26" i="10"/>
  <c r="D28" i="10"/>
  <c r="D18" i="10" s="1"/>
  <c r="D32" i="10" s="1"/>
  <c r="E9" i="10"/>
  <c r="E40" i="10"/>
  <c r="E42" i="10" s="1"/>
  <c r="F12" i="11"/>
  <c r="D23" i="8"/>
  <c r="D26" i="8"/>
  <c r="D28" i="8" s="1"/>
  <c r="F31" i="8"/>
  <c r="C9" i="12"/>
  <c r="C12" i="12"/>
  <c r="C13" i="12" s="1"/>
  <c r="C29" i="12"/>
  <c r="E23" i="8"/>
  <c r="E26" i="8" s="1"/>
  <c r="E28" i="8"/>
  <c r="J23" i="8"/>
  <c r="J26" i="8" s="1"/>
  <c r="J28" i="8" s="1"/>
  <c r="P8" i="10"/>
  <c r="G28" i="10"/>
  <c r="J37" i="10"/>
  <c r="L37" i="10"/>
  <c r="F23" i="12"/>
  <c r="F26" i="12" s="1"/>
  <c r="F28" i="12" s="1"/>
  <c r="K23" i="12"/>
  <c r="K26" i="12"/>
  <c r="K28" i="12" s="1"/>
  <c r="K18" i="12" s="1"/>
  <c r="K32" i="12" s="1"/>
  <c r="C8" i="13"/>
  <c r="E26" i="12"/>
  <c r="E28" i="12" s="1"/>
  <c r="J26" i="12"/>
  <c r="J28" i="12"/>
  <c r="P26" i="8"/>
  <c r="P28" i="8" s="1"/>
  <c r="P18" i="8" s="1"/>
  <c r="P32" i="8" s="1"/>
  <c r="D8" i="11"/>
  <c r="D40" i="11"/>
  <c r="D42" i="11"/>
  <c r="F8" i="11"/>
  <c r="R8" i="8"/>
  <c r="R15" i="8" s="1"/>
  <c r="D41" i="8"/>
  <c r="G9" i="10"/>
  <c r="G12" i="10" s="1"/>
  <c r="G29" i="10"/>
  <c r="G18" i="10"/>
  <c r="G32" i="10" s="1"/>
  <c r="D26" i="12"/>
  <c r="D28" i="12"/>
  <c r="H23" i="12"/>
  <c r="H26" i="12" s="1"/>
  <c r="H28" i="12" s="1"/>
  <c r="N26" i="12"/>
  <c r="N28" i="12"/>
  <c r="D8" i="13"/>
  <c r="D15" i="13" s="1"/>
  <c r="D16" i="13" s="1"/>
  <c r="F41" i="8"/>
  <c r="D15" i="11"/>
  <c r="D16" i="11" s="1"/>
  <c r="H41" i="8"/>
  <c r="C9" i="10"/>
  <c r="C12" i="10" s="1"/>
  <c r="C29" i="10" s="1"/>
  <c r="K8" i="12"/>
  <c r="C23" i="12"/>
  <c r="C26" i="12" s="1"/>
  <c r="C28" i="12" s="1"/>
  <c r="C18" i="12" s="1"/>
  <c r="C32" i="12" s="1"/>
  <c r="G28" i="12"/>
  <c r="M26" i="12"/>
  <c r="M28" i="12" s="1"/>
  <c r="D35" i="13"/>
  <c r="D37" i="13" s="1"/>
  <c r="P26" i="12"/>
  <c r="P28" i="12" s="1"/>
  <c r="G26" i="8"/>
  <c r="G28" i="8"/>
  <c r="R26" i="8"/>
  <c r="R28" i="8" s="1"/>
  <c r="M28" i="10"/>
  <c r="F40" i="10"/>
  <c r="F42" i="10" s="1"/>
  <c r="F8" i="10"/>
  <c r="D36" i="8"/>
  <c r="F36" i="8"/>
  <c r="E41" i="8"/>
  <c r="D9" i="10"/>
  <c r="D12" i="10"/>
  <c r="H9" i="10"/>
  <c r="R26" i="12"/>
  <c r="R28" i="12"/>
  <c r="Q26" i="12"/>
  <c r="Q28" i="12"/>
  <c r="P8" i="8"/>
  <c r="P15" i="8" s="1"/>
  <c r="N12" i="10"/>
  <c r="J8" i="8"/>
  <c r="Q26" i="8"/>
  <c r="Q28" i="8"/>
  <c r="E31" i="8"/>
  <c r="K12" i="8"/>
  <c r="K13" i="8" s="1"/>
  <c r="K16" i="8" s="1"/>
  <c r="G31" i="8"/>
  <c r="H36" i="8"/>
  <c r="N40" i="10"/>
  <c r="N42" i="10"/>
  <c r="K12" i="12"/>
  <c r="K13" i="12" s="1"/>
  <c r="D31" i="8"/>
  <c r="R40" i="10"/>
  <c r="P40" i="8"/>
  <c r="P42" i="8"/>
  <c r="J35" i="12"/>
  <c r="R12" i="10"/>
  <c r="R29" i="10"/>
  <c r="R18" i="10" s="1"/>
  <c r="R32" i="10"/>
  <c r="Q35" i="12"/>
  <c r="Q37" i="12" s="1"/>
  <c r="S37" i="12" s="1"/>
  <c r="F12" i="10"/>
  <c r="F13" i="10" s="1"/>
  <c r="R29" i="8"/>
  <c r="S29" i="8" s="1"/>
  <c r="R13" i="8"/>
  <c r="N13" i="8"/>
  <c r="O13" i="8" s="1"/>
  <c r="Q42" i="10"/>
  <c r="J29" i="12"/>
  <c r="J13" i="12"/>
  <c r="J13" i="8"/>
  <c r="P29" i="8"/>
  <c r="S9" i="8"/>
  <c r="Q8" i="8"/>
  <c r="Q40" i="8"/>
  <c r="M12" i="8"/>
  <c r="O9" i="8"/>
  <c r="M8" i="8"/>
  <c r="M40" i="8"/>
  <c r="M42" i="8" s="1"/>
  <c r="Q29" i="12"/>
  <c r="Q13" i="12"/>
  <c r="Q8" i="10"/>
  <c r="J40" i="8"/>
  <c r="N40" i="8"/>
  <c r="N42" i="8"/>
  <c r="O42" i="8" s="1"/>
  <c r="R40" i="8"/>
  <c r="R42" i="8"/>
  <c r="S9" i="10"/>
  <c r="P12" i="10"/>
  <c r="J8" i="12"/>
  <c r="Q8" i="12"/>
  <c r="P12" i="12"/>
  <c r="P29" i="12" s="1"/>
  <c r="L9" i="8"/>
  <c r="L9" i="12"/>
  <c r="S9" i="12"/>
  <c r="C40" i="8"/>
  <c r="C42" i="8"/>
  <c r="J9" i="10"/>
  <c r="L9" i="10" s="1"/>
  <c r="O9" i="12"/>
  <c r="M16" i="11"/>
  <c r="M15" i="11"/>
  <c r="C12" i="11"/>
  <c r="C8" i="11"/>
  <c r="C40" i="11"/>
  <c r="Q18" i="11"/>
  <c r="S18" i="11" s="1"/>
  <c r="S8" i="11"/>
  <c r="Q15" i="11"/>
  <c r="M18" i="11"/>
  <c r="Q42" i="11"/>
  <c r="R29" i="11"/>
  <c r="R18" i="11" s="1"/>
  <c r="R32" i="11" s="1"/>
  <c r="S32" i="11" s="1"/>
  <c r="R13" i="11"/>
  <c r="R16" i="11" s="1"/>
  <c r="S13" i="11"/>
  <c r="O40" i="11"/>
  <c r="M42" i="11"/>
  <c r="O42" i="11"/>
  <c r="N29" i="11"/>
  <c r="O29" i="11" s="1"/>
  <c r="N13" i="11"/>
  <c r="O13" i="11"/>
  <c r="G8" i="11"/>
  <c r="G40" i="11"/>
  <c r="G42" i="11" s="1"/>
  <c r="E8" i="13"/>
  <c r="E12" i="13"/>
  <c r="E35" i="13"/>
  <c r="E37" i="13" s="1"/>
  <c r="P29" i="13"/>
  <c r="P18" i="13"/>
  <c r="P32" i="13"/>
  <c r="P13" i="13"/>
  <c r="F29" i="13"/>
  <c r="F18" i="13"/>
  <c r="F32" i="13"/>
  <c r="F13" i="13"/>
  <c r="F15" i="13"/>
  <c r="F16" i="13"/>
  <c r="Q29" i="13"/>
  <c r="R16" i="8"/>
  <c r="G13" i="13"/>
  <c r="C15" i="13"/>
  <c r="C16" i="13" s="1"/>
  <c r="C40" i="10"/>
  <c r="C42" i="10" s="1"/>
  <c r="G13" i="10"/>
  <c r="C29" i="13"/>
  <c r="H15" i="13"/>
  <c r="H16" i="13"/>
  <c r="E12" i="10"/>
  <c r="E29" i="10"/>
  <c r="E8" i="10"/>
  <c r="E15" i="10" s="1"/>
  <c r="E16" i="10" s="1"/>
  <c r="L12" i="8"/>
  <c r="K29" i="8"/>
  <c r="G40" i="10"/>
  <c r="G42" i="10"/>
  <c r="G8" i="10"/>
  <c r="G15" i="10" s="1"/>
  <c r="G16" i="10" s="1"/>
  <c r="S35" i="12"/>
  <c r="C35" i="12"/>
  <c r="C8" i="12"/>
  <c r="R13" i="10"/>
  <c r="R15" i="10" s="1"/>
  <c r="R16" i="10"/>
  <c r="R43" i="10" s="1"/>
  <c r="I8" i="13"/>
  <c r="K29" i="12"/>
  <c r="L12" i="12"/>
  <c r="E13" i="10"/>
  <c r="D40" i="10"/>
  <c r="D42" i="10"/>
  <c r="D8" i="10"/>
  <c r="Q15" i="13"/>
  <c r="D29" i="10"/>
  <c r="D13" i="10"/>
  <c r="F15" i="10"/>
  <c r="F29" i="10"/>
  <c r="Q16" i="12"/>
  <c r="P29" i="10"/>
  <c r="P18" i="10" s="1"/>
  <c r="P32" i="10" s="1"/>
  <c r="P13" i="10"/>
  <c r="S8" i="10"/>
  <c r="O40" i="8"/>
  <c r="L40" i="8"/>
  <c r="J42" i="8"/>
  <c r="L42" i="8" s="1"/>
  <c r="Q18" i="12"/>
  <c r="Q29" i="8"/>
  <c r="S12" i="8"/>
  <c r="S13" i="8"/>
  <c r="J18" i="12"/>
  <c r="J32" i="12" s="1"/>
  <c r="L32" i="12" s="1"/>
  <c r="P18" i="12"/>
  <c r="P32" i="12"/>
  <c r="P13" i="12"/>
  <c r="M29" i="8"/>
  <c r="M13" i="8"/>
  <c r="S40" i="8"/>
  <c r="Q42" i="8"/>
  <c r="S42" i="8"/>
  <c r="G15" i="11"/>
  <c r="G16" i="11" s="1"/>
  <c r="G29" i="11"/>
  <c r="G18" i="11" s="1"/>
  <c r="G32" i="11"/>
  <c r="C29" i="11"/>
  <c r="C18" i="11" s="1"/>
  <c r="C32" i="11" s="1"/>
  <c r="N15" i="11"/>
  <c r="N16" i="11"/>
  <c r="R15" i="11"/>
  <c r="S15" i="11"/>
  <c r="M32" i="11"/>
  <c r="Q32" i="11"/>
  <c r="S29" i="11"/>
  <c r="C42" i="11"/>
  <c r="Q16" i="13"/>
  <c r="I37" i="13"/>
  <c r="I35" i="13"/>
  <c r="Q18" i="13"/>
  <c r="E29" i="13"/>
  <c r="E18" i="13" s="1"/>
  <c r="E32" i="13" s="1"/>
  <c r="C37" i="12"/>
  <c r="C15" i="12"/>
  <c r="C16" i="12"/>
  <c r="L29" i="12"/>
  <c r="D15" i="10"/>
  <c r="D16" i="10" s="1"/>
  <c r="M43" i="11"/>
  <c r="O29" i="8"/>
  <c r="Q16" i="8"/>
  <c r="S16" i="8" s="1"/>
  <c r="Q18" i="8"/>
  <c r="L18" i="12"/>
  <c r="Q32" i="12"/>
  <c r="M15" i="8"/>
  <c r="P15" i="10"/>
  <c r="P16" i="10"/>
  <c r="P43" i="10" s="1"/>
  <c r="Q43" i="11"/>
  <c r="O16" i="11"/>
  <c r="Q32" i="13"/>
  <c r="Q38" i="13" s="1"/>
  <c r="Q32" i="8"/>
  <c r="L27" i="3" l="1"/>
  <c r="M27" i="3" s="1"/>
  <c r="Q27" i="3"/>
  <c r="L15" i="3"/>
  <c r="M15" i="3" s="1"/>
  <c r="Q15" i="3"/>
  <c r="N35" i="3"/>
  <c r="P35" i="3" s="1"/>
  <c r="N33" i="3"/>
  <c r="P33" i="3" s="1"/>
  <c r="N21" i="3"/>
  <c r="P21" i="3" s="1"/>
  <c r="N16" i="3"/>
  <c r="P16" i="3" s="1"/>
  <c r="N14" i="3"/>
  <c r="P14" i="3" s="1"/>
  <c r="N7" i="3"/>
  <c r="P7" i="3" s="1"/>
  <c r="N41" i="3"/>
  <c r="P41" i="3" s="1"/>
  <c r="N39" i="3"/>
  <c r="P39" i="3" s="1"/>
  <c r="N37" i="3"/>
  <c r="P37" i="3" s="1"/>
  <c r="L31" i="3"/>
  <c r="M31" i="3" s="1"/>
  <c r="Q31" i="3"/>
  <c r="L18" i="3"/>
  <c r="M18" i="3" s="1"/>
  <c r="Q18" i="3"/>
  <c r="L12" i="3"/>
  <c r="M12" i="3" s="1"/>
  <c r="Q12" i="3"/>
  <c r="L44" i="3"/>
  <c r="M44" i="3" s="1"/>
  <c r="Q44" i="3"/>
  <c r="N31" i="3"/>
  <c r="P31" i="3" s="1"/>
  <c r="N29" i="3"/>
  <c r="P29" i="3" s="1"/>
  <c r="N27" i="3"/>
  <c r="P27" i="3" s="1"/>
  <c r="N25" i="3"/>
  <c r="P25" i="3" s="1"/>
  <c r="N19" i="3"/>
  <c r="P19" i="3" s="1"/>
  <c r="N17" i="3"/>
  <c r="P17" i="3" s="1"/>
  <c r="Q11" i="3"/>
  <c r="N44" i="3"/>
  <c r="P44" i="3" s="1"/>
  <c r="N42" i="3"/>
  <c r="P42" i="3" s="1"/>
  <c r="N40" i="3"/>
  <c r="P40" i="3" s="1"/>
  <c r="N34" i="3"/>
  <c r="P34" i="3" s="1"/>
  <c r="N23" i="3"/>
  <c r="P23" i="3" s="1"/>
  <c r="N15" i="3"/>
  <c r="P15" i="3" s="1"/>
  <c r="N11" i="3"/>
  <c r="P11" i="3" s="1"/>
  <c r="N8" i="3"/>
  <c r="P8" i="3" s="1"/>
  <c r="P46" i="3" s="1"/>
  <c r="Q21" i="3"/>
  <c r="N38" i="3"/>
  <c r="P38" i="3" s="1"/>
  <c r="N32" i="3"/>
  <c r="P32" i="3" s="1"/>
  <c r="N30" i="3"/>
  <c r="P30" i="3" s="1"/>
  <c r="N28" i="3"/>
  <c r="P28" i="3" s="1"/>
  <c r="N26" i="3"/>
  <c r="P26" i="3" s="1"/>
  <c r="N24" i="3"/>
  <c r="P24" i="3" s="1"/>
  <c r="N22" i="3"/>
  <c r="P22" i="3" s="1"/>
  <c r="N20" i="3"/>
  <c r="P20" i="3" s="1"/>
  <c r="N18" i="3"/>
  <c r="P18" i="3" s="1"/>
  <c r="N13" i="3"/>
  <c r="P13" i="3" s="1"/>
  <c r="O42" i="3"/>
  <c r="L42" i="3" s="1"/>
  <c r="M42" i="3" s="1"/>
  <c r="Q39" i="3"/>
  <c r="Q37" i="3"/>
  <c r="Q34" i="3"/>
  <c r="Q23" i="3"/>
  <c r="J12" i="11"/>
  <c r="N9" i="13"/>
  <c r="J29" i="11"/>
  <c r="L29" i="11" s="1"/>
  <c r="E29" i="8"/>
  <c r="E18" i="8" s="1"/>
  <c r="E32" i="8" s="1"/>
  <c r="M12" i="13"/>
  <c r="M35" i="13"/>
  <c r="O35" i="13" s="1"/>
  <c r="F9" i="8"/>
  <c r="F12" i="8" s="1"/>
  <c r="F29" i="8" s="1"/>
  <c r="F18" i="8" s="1"/>
  <c r="F32" i="8" s="1"/>
  <c r="E33" i="8"/>
  <c r="F13" i="8"/>
  <c r="F15" i="8" s="1"/>
  <c r="F16" i="8" s="1"/>
  <c r="E40" i="8"/>
  <c r="E42" i="8" s="1"/>
  <c r="C9" i="8"/>
  <c r="G9" i="8"/>
  <c r="J12" i="10"/>
  <c r="H9" i="8"/>
  <c r="H40" i="8" s="1"/>
  <c r="H42" i="8" s="1"/>
  <c r="F33" i="10"/>
  <c r="F43" i="10" s="1"/>
  <c r="E13" i="13"/>
  <c r="I12" i="13"/>
  <c r="M9" i="12"/>
  <c r="N9" i="12"/>
  <c r="T9" i="12"/>
  <c r="M40" i="10"/>
  <c r="O9" i="10"/>
  <c r="T9" i="10" s="1"/>
  <c r="L20" i="3"/>
  <c r="M20" i="3" s="1"/>
  <c r="Q20" i="3"/>
  <c r="I12" i="11"/>
  <c r="K16" i="12"/>
  <c r="K38" i="12" s="1"/>
  <c r="L13" i="12"/>
  <c r="N29" i="10"/>
  <c r="N13" i="10"/>
  <c r="K15" i="12"/>
  <c r="G33" i="10"/>
  <c r="G43" i="10" s="1"/>
  <c r="L29" i="8"/>
  <c r="T29" i="8" s="1"/>
  <c r="C32" i="10"/>
  <c r="E18" i="10"/>
  <c r="E32" i="10" s="1"/>
  <c r="E33" i="10" s="1"/>
  <c r="E43" i="10" s="1"/>
  <c r="H8" i="10"/>
  <c r="H12" i="10"/>
  <c r="H40" i="10"/>
  <c r="H42" i="10" s="1"/>
  <c r="I42" i="10" s="1"/>
  <c r="N32" i="11"/>
  <c r="N43" i="11" s="1"/>
  <c r="O18" i="11"/>
  <c r="G33" i="11"/>
  <c r="G43" i="11" s="1"/>
  <c r="Q38" i="12"/>
  <c r="M12" i="10"/>
  <c r="J15" i="12"/>
  <c r="L15" i="12" s="1"/>
  <c r="L8" i="12"/>
  <c r="J16" i="12"/>
  <c r="L13" i="8"/>
  <c r="J16" i="8"/>
  <c r="L16" i="8" s="1"/>
  <c r="D33" i="10"/>
  <c r="D43" i="10" s="1"/>
  <c r="J37" i="12"/>
  <c r="L37" i="12" s="1"/>
  <c r="L35" i="12"/>
  <c r="C32" i="13"/>
  <c r="I32" i="13" s="1"/>
  <c r="R43" i="11"/>
  <c r="S16" i="11"/>
  <c r="S43" i="11" s="1"/>
  <c r="M8" i="10"/>
  <c r="M16" i="8"/>
  <c r="O8" i="8"/>
  <c r="Q15" i="8"/>
  <c r="S15" i="8" s="1"/>
  <c r="S8" i="8"/>
  <c r="R42" i="10"/>
  <c r="S42" i="10" s="1"/>
  <c r="S40" i="10"/>
  <c r="R18" i="8"/>
  <c r="F29" i="11"/>
  <c r="F18" i="11" s="1"/>
  <c r="F32" i="11" s="1"/>
  <c r="F13" i="11"/>
  <c r="F15" i="11" s="1"/>
  <c r="F16" i="11" s="1"/>
  <c r="N18" i="10"/>
  <c r="N32" i="10" s="1"/>
  <c r="L8" i="8"/>
  <c r="J15" i="8"/>
  <c r="K18" i="8"/>
  <c r="K32" i="8" s="1"/>
  <c r="G35" i="8"/>
  <c r="G37" i="8" s="1"/>
  <c r="E35" i="8"/>
  <c r="E37" i="8" s="1"/>
  <c r="F35" i="8"/>
  <c r="F37" i="8" s="1"/>
  <c r="H35" i="8"/>
  <c r="H37" i="8" s="1"/>
  <c r="C35" i="8"/>
  <c r="C37" i="8" s="1"/>
  <c r="D35" i="8"/>
  <c r="D37" i="8" s="1"/>
  <c r="L40" i="11"/>
  <c r="J42" i="11"/>
  <c r="L42" i="11" s="1"/>
  <c r="C13" i="11"/>
  <c r="J40" i="10"/>
  <c r="F16" i="10"/>
  <c r="P16" i="8"/>
  <c r="O15" i="11"/>
  <c r="J18" i="8"/>
  <c r="D18" i="11"/>
  <c r="D32" i="11" s="1"/>
  <c r="D33" i="11" s="1"/>
  <c r="D43" i="11" s="1"/>
  <c r="I40" i="10"/>
  <c r="K15" i="8"/>
  <c r="Q15" i="12"/>
  <c r="C8" i="10"/>
  <c r="C13" i="10"/>
  <c r="P16" i="13"/>
  <c r="P38" i="13" s="1"/>
  <c r="P15" i="13"/>
  <c r="G15" i="13"/>
  <c r="G16" i="13" s="1"/>
  <c r="C37" i="10"/>
  <c r="I37" i="10" s="1"/>
  <c r="I36" i="10"/>
  <c r="P35" i="12"/>
  <c r="P37" i="12" s="1"/>
  <c r="P8" i="12"/>
  <c r="K35" i="13"/>
  <c r="K8" i="13"/>
  <c r="L9" i="13"/>
  <c r="T9" i="13" s="1"/>
  <c r="K12" i="13"/>
  <c r="Q37" i="13"/>
  <c r="S37" i="13" s="1"/>
  <c r="R42" i="11"/>
  <c r="S42" i="11" s="1"/>
  <c r="S40" i="11"/>
  <c r="D26" i="13"/>
  <c r="D28" i="13" s="1"/>
  <c r="D18" i="13" s="1"/>
  <c r="D32" i="13" s="1"/>
  <c r="P12" i="11"/>
  <c r="P8" i="11"/>
  <c r="P40" i="11"/>
  <c r="P42" i="11" s="1"/>
  <c r="H23" i="11"/>
  <c r="H26" i="11" s="1"/>
  <c r="H28" i="11" s="1"/>
  <c r="J13" i="13"/>
  <c r="J29" i="13"/>
  <c r="R35" i="13"/>
  <c r="R37" i="13" s="1"/>
  <c r="R8" i="13"/>
  <c r="R12" i="13"/>
  <c r="H8" i="11"/>
  <c r="I8" i="11" s="1"/>
  <c r="T8" i="11" s="1"/>
  <c r="H40" i="11"/>
  <c r="H42" i="11" s="1"/>
  <c r="O12" i="8"/>
  <c r="T9" i="8"/>
  <c r="D9" i="8"/>
  <c r="Q12" i="10"/>
  <c r="N8" i="8"/>
  <c r="M26" i="8"/>
  <c r="M28" i="8" s="1"/>
  <c r="M18" i="8" s="1"/>
  <c r="H9" i="12"/>
  <c r="E9" i="12"/>
  <c r="G9" i="12"/>
  <c r="D9" i="12"/>
  <c r="F9" i="12"/>
  <c r="H12" i="11"/>
  <c r="E40" i="11"/>
  <c r="E12" i="11"/>
  <c r="L41" i="3"/>
  <c r="M41" i="3" s="1"/>
  <c r="Q41" i="3"/>
  <c r="L25" i="3"/>
  <c r="M25" i="3" s="1"/>
  <c r="Q25" i="3"/>
  <c r="L19" i="3"/>
  <c r="M19" i="3" s="1"/>
  <c r="Q19" i="3"/>
  <c r="M10" i="1"/>
  <c r="F10" i="1"/>
  <c r="L40" i="3"/>
  <c r="M40" i="3" s="1"/>
  <c r="Q40" i="3"/>
  <c r="L35" i="3"/>
  <c r="M35" i="3" s="1"/>
  <c r="Q35" i="3"/>
  <c r="L29" i="3"/>
  <c r="M29" i="3" s="1"/>
  <c r="Q29" i="3"/>
  <c r="L24" i="3"/>
  <c r="M24" i="3" s="1"/>
  <c r="Q24" i="3"/>
  <c r="R12" i="12"/>
  <c r="G5" i="1"/>
  <c r="E6" i="1"/>
  <c r="Q42" i="3"/>
  <c r="L28" i="3"/>
  <c r="M28" i="3" s="1"/>
  <c r="Q28" i="3"/>
  <c r="L10" i="3"/>
  <c r="M10" i="3" s="1"/>
  <c r="Q10" i="3"/>
  <c r="L7" i="3"/>
  <c r="M7" i="3" s="1"/>
  <c r="Q7" i="3"/>
  <c r="Q43" i="3"/>
  <c r="Q38" i="3"/>
  <c r="Q36" i="3"/>
  <c r="Q33" i="3"/>
  <c r="Q30" i="3"/>
  <c r="Q26" i="3"/>
  <c r="Q17" i="3"/>
  <c r="Q14" i="3"/>
  <c r="C20" i="1"/>
  <c r="E20" i="1" s="1"/>
  <c r="E25" i="1" s="1"/>
  <c r="C19" i="1"/>
  <c r="E19" i="1" s="1"/>
  <c r="C22" i="1"/>
  <c r="E22" i="1" s="1"/>
  <c r="Q45" i="3"/>
  <c r="Q32" i="3"/>
  <c r="Q22" i="3"/>
  <c r="Q16" i="3"/>
  <c r="Q13" i="3"/>
  <c r="Q8" i="3"/>
  <c r="J13" i="11" l="1"/>
  <c r="L12" i="11"/>
  <c r="T12" i="11" s="1"/>
  <c r="H12" i="8"/>
  <c r="H29" i="8" s="1"/>
  <c r="H18" i="8" s="1"/>
  <c r="H32" i="8" s="1"/>
  <c r="M37" i="13"/>
  <c r="O37" i="13" s="1"/>
  <c r="N35" i="13"/>
  <c r="N37" i="13" s="1"/>
  <c r="N12" i="13"/>
  <c r="J18" i="11"/>
  <c r="L18" i="11" s="1"/>
  <c r="F33" i="8"/>
  <c r="F40" i="8"/>
  <c r="F42" i="8" s="1"/>
  <c r="M13" i="13"/>
  <c r="O12" i="13"/>
  <c r="T12" i="13" s="1"/>
  <c r="M29" i="13"/>
  <c r="C8" i="8"/>
  <c r="C12" i="8"/>
  <c r="J29" i="10"/>
  <c r="L12" i="10"/>
  <c r="J13" i="10"/>
  <c r="J15" i="10" s="1"/>
  <c r="L15" i="10" s="1"/>
  <c r="E43" i="8"/>
  <c r="G40" i="8"/>
  <c r="G42" i="8" s="1"/>
  <c r="G12" i="8"/>
  <c r="D12" i="8"/>
  <c r="D40" i="8"/>
  <c r="P16" i="11"/>
  <c r="L18" i="8"/>
  <c r="J32" i="8"/>
  <c r="L32" i="8" s="1"/>
  <c r="I37" i="8"/>
  <c r="M32" i="8"/>
  <c r="O32" i="8" s="1"/>
  <c r="O18" i="8"/>
  <c r="R13" i="12"/>
  <c r="S12" i="12"/>
  <c r="R29" i="12"/>
  <c r="F35" i="12"/>
  <c r="F37" i="12" s="1"/>
  <c r="F12" i="12"/>
  <c r="F8" i="12"/>
  <c r="L12" i="13"/>
  <c r="K29" i="13"/>
  <c r="K18" i="13" s="1"/>
  <c r="K32" i="13" s="1"/>
  <c r="K13" i="13"/>
  <c r="L13" i="13" s="1"/>
  <c r="C15" i="10"/>
  <c r="I8" i="10"/>
  <c r="R32" i="8"/>
  <c r="S32" i="8" s="1"/>
  <c r="S18" i="8"/>
  <c r="E10" i="1"/>
  <c r="G10" i="1"/>
  <c r="G14" i="1" s="1"/>
  <c r="E13" i="11"/>
  <c r="E15" i="11" s="1"/>
  <c r="E16" i="11" s="1"/>
  <c r="E29" i="11"/>
  <c r="E18" i="11" s="1"/>
  <c r="E32" i="11" s="1"/>
  <c r="E33" i="11" s="1"/>
  <c r="E43" i="11" s="1"/>
  <c r="R29" i="13"/>
  <c r="R13" i="13"/>
  <c r="S13" i="13" s="1"/>
  <c r="S12" i="13"/>
  <c r="N16" i="8"/>
  <c r="O16" i="8" s="1"/>
  <c r="N15" i="8"/>
  <c r="O15" i="8" s="1"/>
  <c r="S8" i="13"/>
  <c r="H29" i="10"/>
  <c r="H18" i="10" s="1"/>
  <c r="H32" i="10" s="1"/>
  <c r="I12" i="10"/>
  <c r="H13" i="10"/>
  <c r="I13" i="10" s="1"/>
  <c r="I18" i="10"/>
  <c r="M42" i="10"/>
  <c r="O42" i="10" s="1"/>
  <c r="O40" i="10"/>
  <c r="N35" i="12"/>
  <c r="N37" i="12" s="1"/>
  <c r="N12" i="12"/>
  <c r="H8" i="12"/>
  <c r="H35" i="12"/>
  <c r="H37" i="12" s="1"/>
  <c r="H12" i="12"/>
  <c r="H15" i="11"/>
  <c r="H16" i="11" s="1"/>
  <c r="O12" i="10"/>
  <c r="M29" i="10"/>
  <c r="M13" i="10"/>
  <c r="O13" i="10" s="1"/>
  <c r="N15" i="10"/>
  <c r="N16" i="10"/>
  <c r="N43" i="10" s="1"/>
  <c r="D12" i="12"/>
  <c r="D8" i="12"/>
  <c r="D35" i="12"/>
  <c r="J15" i="13"/>
  <c r="P13" i="11"/>
  <c r="P15" i="11" s="1"/>
  <c r="P29" i="11"/>
  <c r="I13" i="11"/>
  <c r="L16" i="12"/>
  <c r="L38" i="12" s="1"/>
  <c r="J38" i="12"/>
  <c r="C15" i="11"/>
  <c r="I13" i="13"/>
  <c r="E15" i="13"/>
  <c r="Q46" i="3"/>
  <c r="E42" i="11"/>
  <c r="I42" i="11" s="1"/>
  <c r="T42" i="11" s="1"/>
  <c r="I40" i="11"/>
  <c r="T40" i="11" s="1"/>
  <c r="G8" i="12"/>
  <c r="G12" i="12"/>
  <c r="G35" i="12"/>
  <c r="G37" i="12" s="1"/>
  <c r="L8" i="13"/>
  <c r="J18" i="13"/>
  <c r="J16" i="13"/>
  <c r="L15" i="8"/>
  <c r="H13" i="11"/>
  <c r="H29" i="11"/>
  <c r="H18" i="11" s="1"/>
  <c r="E35" i="12"/>
  <c r="E37" i="12" s="1"/>
  <c r="E8" i="12"/>
  <c r="E12" i="12"/>
  <c r="Q29" i="10"/>
  <c r="S12" i="10"/>
  <c r="Q13" i="10"/>
  <c r="S35" i="13"/>
  <c r="K37" i="13"/>
  <c r="L37" i="13" s="1"/>
  <c r="T37" i="13" s="1"/>
  <c r="L35" i="13"/>
  <c r="P15" i="12"/>
  <c r="P16" i="12"/>
  <c r="P38" i="12" s="1"/>
  <c r="O32" i="11"/>
  <c r="O43" i="11" s="1"/>
  <c r="L40" i="10"/>
  <c r="T40" i="10" s="1"/>
  <c r="J42" i="10"/>
  <c r="L42" i="10" s="1"/>
  <c r="T42" i="10" s="1"/>
  <c r="F33" i="11"/>
  <c r="F43" i="11" s="1"/>
  <c r="O8" i="10"/>
  <c r="M15" i="10"/>
  <c r="O15" i="10" s="1"/>
  <c r="H13" i="8"/>
  <c r="H15" i="8" s="1"/>
  <c r="H16" i="8" s="1"/>
  <c r="I18" i="13"/>
  <c r="H15" i="10"/>
  <c r="H16" i="10" s="1"/>
  <c r="I32" i="10"/>
  <c r="M35" i="12"/>
  <c r="M12" i="12"/>
  <c r="J15" i="11" l="1"/>
  <c r="L15" i="11" s="1"/>
  <c r="J16" i="11"/>
  <c r="L16" i="11" s="1"/>
  <c r="L13" i="11"/>
  <c r="T13" i="11"/>
  <c r="J32" i="11"/>
  <c r="L32" i="11" s="1"/>
  <c r="N29" i="13"/>
  <c r="N18" i="13" s="1"/>
  <c r="N32" i="13" s="1"/>
  <c r="N13" i="13"/>
  <c r="F43" i="8"/>
  <c r="J43" i="11"/>
  <c r="O29" i="13"/>
  <c r="M18" i="13"/>
  <c r="L13" i="10"/>
  <c r="J16" i="10"/>
  <c r="L16" i="10" s="1"/>
  <c r="M15" i="13"/>
  <c r="O15" i="13" s="1"/>
  <c r="M16" i="13"/>
  <c r="O16" i="13" s="1"/>
  <c r="O13" i="13"/>
  <c r="T13" i="13" s="1"/>
  <c r="L29" i="10"/>
  <c r="J18" i="10"/>
  <c r="C13" i="8"/>
  <c r="C15" i="8" s="1"/>
  <c r="C16" i="8" s="1"/>
  <c r="C29" i="8"/>
  <c r="C18" i="8" s="1"/>
  <c r="C32" i="8" s="1"/>
  <c r="I8" i="8"/>
  <c r="T8" i="8" s="1"/>
  <c r="H33" i="8"/>
  <c r="H43" i="8" s="1"/>
  <c r="G13" i="8"/>
  <c r="G15" i="8" s="1"/>
  <c r="G16" i="8" s="1"/>
  <c r="G29" i="8"/>
  <c r="G18" i="8" s="1"/>
  <c r="G32" i="8" s="1"/>
  <c r="H32" i="11"/>
  <c r="H33" i="11" s="1"/>
  <c r="H43" i="11" s="1"/>
  <c r="I18" i="11"/>
  <c r="L18" i="13"/>
  <c r="J32" i="13"/>
  <c r="L32" i="13" s="1"/>
  <c r="L29" i="13"/>
  <c r="O35" i="12"/>
  <c r="M37" i="12"/>
  <c r="O37" i="12" s="1"/>
  <c r="T29" i="11"/>
  <c r="P18" i="11"/>
  <c r="P32" i="11" s="1"/>
  <c r="N29" i="12"/>
  <c r="N18" i="12" s="1"/>
  <c r="N32" i="12" s="1"/>
  <c r="N13" i="12"/>
  <c r="F13" i="12"/>
  <c r="F29" i="12"/>
  <c r="F18" i="12" s="1"/>
  <c r="F32" i="12" s="1"/>
  <c r="R16" i="12"/>
  <c r="R15" i="12"/>
  <c r="S15" i="12" s="1"/>
  <c r="S13" i="12"/>
  <c r="P43" i="11"/>
  <c r="M16" i="10"/>
  <c r="G29" i="12"/>
  <c r="G18" i="12" s="1"/>
  <c r="G32" i="12" s="1"/>
  <c r="G13" i="12"/>
  <c r="I8" i="12"/>
  <c r="T8" i="12" s="1"/>
  <c r="R15" i="13"/>
  <c r="S15" i="13" s="1"/>
  <c r="T35" i="13"/>
  <c r="T8" i="10"/>
  <c r="I40" i="8"/>
  <c r="T40" i="8" s="1"/>
  <c r="D42" i="8"/>
  <c r="I35" i="12"/>
  <c r="D37" i="12"/>
  <c r="I37" i="12" s="1"/>
  <c r="Q18" i="10"/>
  <c r="S29" i="10"/>
  <c r="K16" i="13"/>
  <c r="K38" i="13" s="1"/>
  <c r="C16" i="11"/>
  <c r="I15" i="11"/>
  <c r="T15" i="11" s="1"/>
  <c r="O29" i="10"/>
  <c r="M18" i="10"/>
  <c r="H13" i="12"/>
  <c r="H29" i="12"/>
  <c r="H18" i="12" s="1"/>
  <c r="H32" i="12" s="1"/>
  <c r="R18" i="13"/>
  <c r="S29" i="13"/>
  <c r="E29" i="12"/>
  <c r="E18" i="12" s="1"/>
  <c r="E32" i="12" s="1"/>
  <c r="E13" i="12"/>
  <c r="T8" i="13"/>
  <c r="G15" i="12"/>
  <c r="G16" i="12" s="1"/>
  <c r="E16" i="13"/>
  <c r="I16" i="13" s="1"/>
  <c r="I15" i="13"/>
  <c r="D13" i="12"/>
  <c r="I13" i="12" s="1"/>
  <c r="D29" i="12"/>
  <c r="D18" i="12" s="1"/>
  <c r="I12" i="12"/>
  <c r="T12" i="10"/>
  <c r="R16" i="13"/>
  <c r="S29" i="12"/>
  <c r="R18" i="12"/>
  <c r="O12" i="12"/>
  <c r="M13" i="12"/>
  <c r="M29" i="12"/>
  <c r="S13" i="10"/>
  <c r="Q15" i="10"/>
  <c r="S15" i="10" s="1"/>
  <c r="Q16" i="10"/>
  <c r="E15" i="12"/>
  <c r="E16" i="12" s="1"/>
  <c r="L16" i="13"/>
  <c r="L38" i="13" s="1"/>
  <c r="J38" i="13"/>
  <c r="K15" i="13"/>
  <c r="L15" i="13" s="1"/>
  <c r="H15" i="12"/>
  <c r="H16" i="12" s="1"/>
  <c r="I32" i="11"/>
  <c r="T32" i="11" s="1"/>
  <c r="H33" i="10"/>
  <c r="H43" i="10" s="1"/>
  <c r="C16" i="10"/>
  <c r="I15" i="10"/>
  <c r="T15" i="10" s="1"/>
  <c r="F15" i="12"/>
  <c r="F16" i="12" s="1"/>
  <c r="D13" i="8"/>
  <c r="D29" i="8"/>
  <c r="D18" i="8" s="1"/>
  <c r="I12" i="8"/>
  <c r="T12" i="8" s="1"/>
  <c r="J33" i="11" l="1"/>
  <c r="L43" i="11"/>
  <c r="N15" i="13"/>
  <c r="N16" i="13"/>
  <c r="N38" i="13" s="1"/>
  <c r="T37" i="12"/>
  <c r="T29" i="10"/>
  <c r="T35" i="12"/>
  <c r="M32" i="13"/>
  <c r="O18" i="13"/>
  <c r="T13" i="10"/>
  <c r="C33" i="8"/>
  <c r="C43" i="8" s="1"/>
  <c r="J32" i="10"/>
  <c r="L18" i="10"/>
  <c r="G33" i="8"/>
  <c r="G43" i="8" s="1"/>
  <c r="D15" i="8"/>
  <c r="I13" i="8"/>
  <c r="T13" i="8" s="1"/>
  <c r="M15" i="12"/>
  <c r="O13" i="12"/>
  <c r="M16" i="12"/>
  <c r="T12" i="12"/>
  <c r="T15" i="13"/>
  <c r="O18" i="10"/>
  <c r="M32" i="10"/>
  <c r="O32" i="10" s="1"/>
  <c r="N16" i="12"/>
  <c r="N38" i="12" s="1"/>
  <c r="N15" i="12"/>
  <c r="T16" i="13"/>
  <c r="M43" i="10"/>
  <c r="O16" i="10"/>
  <c r="O43" i="10" s="1"/>
  <c r="S16" i="12"/>
  <c r="T18" i="11"/>
  <c r="D32" i="12"/>
  <c r="I32" i="12" s="1"/>
  <c r="I18" i="12"/>
  <c r="S16" i="13"/>
  <c r="T13" i="12"/>
  <c r="Q32" i="10"/>
  <c r="S32" i="10" s="1"/>
  <c r="S18" i="10"/>
  <c r="I42" i="8"/>
  <c r="T42" i="8" s="1"/>
  <c r="D15" i="12"/>
  <c r="D32" i="8"/>
  <c r="I18" i="8"/>
  <c r="I16" i="10"/>
  <c r="T16" i="10" s="1"/>
  <c r="C33" i="10"/>
  <c r="S16" i="10"/>
  <c r="S43" i="10" s="1"/>
  <c r="O29" i="12"/>
  <c r="T29" i="12" s="1"/>
  <c r="M18" i="12"/>
  <c r="R32" i="12"/>
  <c r="S32" i="12" s="1"/>
  <c r="S18" i="12"/>
  <c r="R32" i="13"/>
  <c r="S32" i="13" s="1"/>
  <c r="S18" i="13"/>
  <c r="T18" i="13" s="1"/>
  <c r="I16" i="11"/>
  <c r="T16" i="11" s="1"/>
  <c r="T43" i="11" s="1"/>
  <c r="C33" i="11"/>
  <c r="T29" i="13"/>
  <c r="O32" i="13" l="1"/>
  <c r="O38" i="13" s="1"/>
  <c r="O41" i="13" s="1"/>
  <c r="M38" i="13"/>
  <c r="L32" i="10"/>
  <c r="L43" i="10" s="1"/>
  <c r="J33" i="10"/>
  <c r="J43" i="10"/>
  <c r="T18" i="10"/>
  <c r="D16" i="12"/>
  <c r="I16" i="12" s="1"/>
  <c r="I15" i="12"/>
  <c r="R38" i="12"/>
  <c r="T18" i="8"/>
  <c r="O16" i="12"/>
  <c r="I32" i="8"/>
  <c r="T32" i="8" s="1"/>
  <c r="S38" i="13"/>
  <c r="O18" i="12"/>
  <c r="M32" i="12"/>
  <c r="O32" i="12" s="1"/>
  <c r="T32" i="12" s="1"/>
  <c r="D16" i="8"/>
  <c r="I16" i="8" s="1"/>
  <c r="T16" i="8" s="1"/>
  <c r="I15" i="8"/>
  <c r="T15" i="8" s="1"/>
  <c r="I33" i="11"/>
  <c r="C43" i="11"/>
  <c r="I43" i="11" s="1"/>
  <c r="Q43" i="10"/>
  <c r="I33" i="10"/>
  <c r="C43" i="10"/>
  <c r="I43" i="10" s="1"/>
  <c r="R38" i="13"/>
  <c r="S38" i="12"/>
  <c r="O15" i="12"/>
  <c r="T32" i="10" l="1"/>
  <c r="T43" i="10" s="1"/>
  <c r="T32" i="13"/>
  <c r="T38" i="13" s="1"/>
  <c r="M38" i="12"/>
  <c r="T15" i="12"/>
  <c r="O38" i="12"/>
  <c r="O41" i="12" s="1"/>
  <c r="T18" i="12"/>
  <c r="D33" i="8"/>
  <c r="T16" i="12"/>
  <c r="T38" i="12" s="1"/>
  <c r="I33" i="8" l="1"/>
  <c r="D43" i="8"/>
  <c r="I43" i="8" s="1"/>
</calcChain>
</file>

<file path=xl/sharedStrings.xml><?xml version="1.0" encoding="utf-8"?>
<sst xmlns="http://schemas.openxmlformats.org/spreadsheetml/2006/main" count="793" uniqueCount="288">
  <si>
    <t>Погрузка шлака</t>
  </si>
  <si>
    <t>Вывоз шлака</t>
  </si>
  <si>
    <t>объем общий</t>
  </si>
  <si>
    <t xml:space="preserve">РАСЧЕТ ТРАНСПОРТНЫХ ЗАТРАТ </t>
  </si>
  <si>
    <t>Показатели</t>
  </si>
  <si>
    <t>Мамское МО</t>
  </si>
  <si>
    <t>Витимское МО</t>
  </si>
  <si>
    <t>Луговское МО</t>
  </si>
  <si>
    <t xml:space="preserve">Сонгдиондоское МО </t>
  </si>
  <si>
    <t>Горно-Чуйское  МО</t>
  </si>
  <si>
    <t>ед. изм.</t>
  </si>
  <si>
    <t>№1</t>
  </si>
  <si>
    <t>№2</t>
  </si>
  <si>
    <t>№3</t>
  </si>
  <si>
    <t>№4</t>
  </si>
  <si>
    <t>№5</t>
  </si>
  <si>
    <t>№6</t>
  </si>
  <si>
    <t>Расходы</t>
  </si>
  <si>
    <t>№11</t>
  </si>
  <si>
    <t>№12</t>
  </si>
  <si>
    <t>Итого:</t>
  </si>
  <si>
    <t>№13</t>
  </si>
  <si>
    <t>№14</t>
  </si>
  <si>
    <t>№15</t>
  </si>
  <si>
    <t>№16</t>
  </si>
  <si>
    <t>№17</t>
  </si>
  <si>
    <t>ИТОГО</t>
  </si>
  <si>
    <t>Погрузка шлака, угля</t>
  </si>
  <si>
    <t>норма времени (погрузка угля)</t>
  </si>
  <si>
    <t>ч/т</t>
  </si>
  <si>
    <t>время на погрузку угля</t>
  </si>
  <si>
    <t>м/ч</t>
  </si>
  <si>
    <t>сжигаемый уголь</t>
  </si>
  <si>
    <t>т</t>
  </si>
  <si>
    <t>норма времени (погрузка шлака)</t>
  </si>
  <si>
    <t>зольность согласно договору от 08.04.2020 № 1</t>
  </si>
  <si>
    <t>%</t>
  </si>
  <si>
    <t>объем шлака</t>
  </si>
  <si>
    <t>время на погрузку шлака</t>
  </si>
  <si>
    <t>стоимость м/ч по конкурсу</t>
  </si>
  <si>
    <t>руб./м*ч</t>
  </si>
  <si>
    <t>время работы всего</t>
  </si>
  <si>
    <t>Затраты на погрузку шлака, угля</t>
  </si>
  <si>
    <t>тыс. руб.</t>
  </si>
  <si>
    <t>расстояние (туда-обратно) по городу</t>
  </si>
  <si>
    <t>км</t>
  </si>
  <si>
    <t>скорость по городу</t>
  </si>
  <si>
    <t>км/ч</t>
  </si>
  <si>
    <t>расстояние (туда-обратно) за городом</t>
  </si>
  <si>
    <t>скорость за городом</t>
  </si>
  <si>
    <t>время в пути</t>
  </si>
  <si>
    <t>ч</t>
  </si>
  <si>
    <t>время на погрузку-разгрузку</t>
  </si>
  <si>
    <t>время ожидания до погрузки</t>
  </si>
  <si>
    <t>время работы</t>
  </si>
  <si>
    <t xml:space="preserve">К/т с учетом класса груза </t>
  </si>
  <si>
    <t>ч/рейс</t>
  </si>
  <si>
    <t>количество рейсов</t>
  </si>
  <si>
    <t>рейс</t>
  </si>
  <si>
    <t>грузоподъемность</t>
  </si>
  <si>
    <t xml:space="preserve">т </t>
  </si>
  <si>
    <t>стоимость м/ч</t>
  </si>
  <si>
    <t>Затраты</t>
  </si>
  <si>
    <t>Затраты по шлаку, погрузке угля</t>
  </si>
  <si>
    <t>Гуртовка угля</t>
  </si>
  <si>
    <t>объем угля для гуртования</t>
  </si>
  <si>
    <t>стоимость гуртовки на угольном складе и на котельных</t>
  </si>
  <si>
    <t>руб/т</t>
  </si>
  <si>
    <t>согласно договору по конкурсу</t>
  </si>
  <si>
    <t>Подталкивание угля</t>
  </si>
  <si>
    <t>норматив на подталкивание</t>
  </si>
  <si>
    <t>договор по конкурсу</t>
  </si>
  <si>
    <t>Итого транспортные расходы</t>
  </si>
  <si>
    <t>Затраты на погрузку шлака</t>
  </si>
  <si>
    <t>Затраты по шлаку</t>
  </si>
  <si>
    <t>объем угля для гуртовки</t>
  </si>
  <si>
    <t>ВСЕГО ЗАТРАТЫ</t>
  </si>
  <si>
    <t>тыс. руб</t>
  </si>
  <si>
    <t>Гуртовка</t>
  </si>
  <si>
    <t>Итго транспортные</t>
  </si>
  <si>
    <t>ООО "ТеплоРесурс"</t>
  </si>
  <si>
    <t>Оборотно-сальдовая ведомость по счету 20 за 2020 г.</t>
  </si>
  <si>
    <t>Выводимые данные:</t>
  </si>
  <si>
    <t>БУ (данные бухгалтерского учета)</t>
  </si>
  <si>
    <t>Отбор:</t>
  </si>
  <si>
    <t>Номенклатурные группы В группе ""</t>
  </si>
  <si>
    <t>Счет</t>
  </si>
  <si>
    <t>Сальдо на начало периода</t>
  </si>
  <si>
    <t>Обороты за период</t>
  </si>
  <si>
    <t>Сальдо на конец периода</t>
  </si>
  <si>
    <t>Номенклатурные группы</t>
  </si>
  <si>
    <t>Дебет</t>
  </si>
  <si>
    <t>Кредит</t>
  </si>
  <si>
    <t>Статьи затрат</t>
  </si>
  <si>
    <t>20</t>
  </si>
  <si>
    <t>Выработка тепловой энергии п. Витимский</t>
  </si>
  <si>
    <t>&lt;...&gt;</t>
  </si>
  <si>
    <t>Аренда федерального и муниципального имущества</t>
  </si>
  <si>
    <t>Взносы в ФСС от НС и ПЗ</t>
  </si>
  <si>
    <t>ГСМ</t>
  </si>
  <si>
    <t>Гуртовка шлака</t>
  </si>
  <si>
    <t>Доставка угля</t>
  </si>
  <si>
    <t>Капитальный ремонт</t>
  </si>
  <si>
    <t>Материальные расходы</t>
  </si>
  <si>
    <t>Оплата труда</t>
  </si>
  <si>
    <t>Охрана труда</t>
  </si>
  <si>
    <t>Погрузка угля</t>
  </si>
  <si>
    <t>Страховые взносы</t>
  </si>
  <si>
    <t>Текущий ремонт</t>
  </si>
  <si>
    <t>Уголь</t>
  </si>
  <si>
    <t>Уголь АТЗ</t>
  </si>
  <si>
    <t>Холодная вода на технологические нужды</t>
  </si>
  <si>
    <t>Электроэнергия</t>
  </si>
  <si>
    <t>Выработка тепловой энергии п. Луговский</t>
  </si>
  <si>
    <t>Выработка тепловой энергии п. Мама</t>
  </si>
  <si>
    <t>Затраты на ремонт теплотрассы</t>
  </si>
  <si>
    <t>канц.товары</t>
  </si>
  <si>
    <t>Перевозка груза</t>
  </si>
  <si>
    <t>Прочие расходы</t>
  </si>
  <si>
    <t>Прочие услуги</t>
  </si>
  <si>
    <t>Связь,интернет</t>
  </si>
  <si>
    <t>Прочие виды деятельности</t>
  </si>
  <si>
    <t>Теплоноситель</t>
  </si>
  <si>
    <t>Холодная вода</t>
  </si>
  <si>
    <t>Итого</t>
  </si>
  <si>
    <t>№ п/п</t>
  </si>
  <si>
    <t>Наименование</t>
  </si>
  <si>
    <t>Кол – во, м. час</t>
  </si>
  <si>
    <t>Погрузка шлака на теплоисточниках Мамско-Чуйского района</t>
  </si>
  <si>
    <t>Подталкивание угля на теплоисточниках Мамско-Чуйского района</t>
  </si>
  <si>
    <t>Стоимость руб. (в т.ч. НДС)</t>
  </si>
  <si>
    <t>Сумма, руб. (в т.ч. НДС)</t>
  </si>
  <si>
    <t>Технология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</si>
  <si>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</si>
  <si>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</si>
  <si>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</si>
  <si>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</si>
  <si>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</si>
  <si>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</si>
  <si>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</si>
  <si>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</si>
  <si>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</si>
  <si>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Единицы измерения</t>
  </si>
  <si>
    <t>маш-час</t>
  </si>
  <si>
    <t>Стоимость руб./ед.изм. (в т.ч. НДС)</t>
  </si>
  <si>
    <t xml:space="preserve">Начальная (максимальная)цена единицы, с НДС, руб. </t>
  </si>
  <si>
    <t>1</t>
  </si>
  <si>
    <t>3</t>
  </si>
  <si>
    <t>4</t>
  </si>
  <si>
    <t>5</t>
  </si>
  <si>
    <t>6</t>
  </si>
  <si>
    <t>7</t>
  </si>
  <si>
    <t>8</t>
  </si>
  <si>
    <t>9</t>
  </si>
  <si>
    <t>Доставка угля от пирса до склада гп.Мама</t>
  </si>
  <si>
    <t>Доставка угля от пирса до котельной №11 гп.Витимский</t>
  </si>
  <si>
    <t>Доставка угля от угольного склада гп.Мама до теплоисточников гп. Мама</t>
  </si>
  <si>
    <t>Доставка угля от угольного склада гп.Мама до теплоисточников гп. Луговский</t>
  </si>
  <si>
    <t>Погрузка угля на угольном складе гп.Мама</t>
  </si>
  <si>
    <t xml:space="preserve">Гуртовка каменного угля </t>
  </si>
  <si>
    <t>Старая цена + 20%+4%ИПЦ</t>
  </si>
  <si>
    <t>Количество</t>
  </si>
  <si>
    <t xml:space="preserve">Старая цена с НДС </t>
  </si>
  <si>
    <t>Цена с ндс</t>
  </si>
  <si>
    <t>рост цены</t>
  </si>
  <si>
    <t>Новая цена = Старая цена с НДС + 4% = цена Северстроя</t>
  </si>
  <si>
    <t>Бизнес-блокнот/ежедневник формата А5 не менее 160 листов, твердая обложка</t>
  </si>
  <si>
    <t>Блок д/записи не менее 9*9*4,5 см, белый цвет</t>
  </si>
  <si>
    <t>Бумага А4, пачка не менее 500 листов, в коробке не менее 5 пачек, цвет - белый</t>
  </si>
  <si>
    <t>Бумага д/заметок с клеевым краем, размер не менее 76*76 мм, по 100 л. ассорти</t>
  </si>
  <si>
    <t>Самоклеящиеся закладки-флажки, цветные не менее 12*44 мм, не менее 3 ярких цвета в блоке</t>
  </si>
  <si>
    <t>Самоклеящиеся закладки-флажки, неоновые не менее 76*25 мм, не менее 3 ярких цвета в блоке</t>
  </si>
  <si>
    <t>Жидкость корректор на спиртовой основе не менее 20 мл.</t>
  </si>
  <si>
    <t>Зажимы, не менее 15 мм., 12шт./уп.</t>
  </si>
  <si>
    <t>Зажимы, не менее 25 мм., 12шт./уп.</t>
  </si>
  <si>
    <t>Зажимы, не менее 41 мм., 12шт./уп.</t>
  </si>
  <si>
    <t>Зажимы, не менее 51 мм., 12шт./уп.</t>
  </si>
  <si>
    <t>Карандаш ч/граф., пластиковый</t>
  </si>
  <si>
    <t>Клей ПВА, не менее 125гр</t>
  </si>
  <si>
    <t>Клей-карандаш, не менее 20 гр</t>
  </si>
  <si>
    <t>Скотч не менее 15*33 м прозрачный</t>
  </si>
  <si>
    <t>Скотч не менее 48*66 м прозрачный</t>
  </si>
  <si>
    <t>Набор маркеров (не менее 4 цв.)</t>
  </si>
  <si>
    <t>Папка-регистратор с арочным механизмом А4, не менее 80 мм, из жесткого износостойкого картона, обтянутого бум винилом, карман на корешке со сменным информационным ярлыком для маркировки, цвет ассорти</t>
  </si>
  <si>
    <t>Папка с завязками картон не менее 0,6мм</t>
  </si>
  <si>
    <t>Папка-скоросшиватель пласт. с прозр. верхом А4, не менее 180 мкм, цвет ассорти</t>
  </si>
  <si>
    <t>Папка-скоросшиватель картон (Дело) А4 не менее 0,6мм</t>
  </si>
  <si>
    <t>Ручка шариковая синяя, упаковка не менее 12 шт.</t>
  </si>
  <si>
    <t>Ручка гелевая, цветн. набор от 5 шт.</t>
  </si>
  <si>
    <t>Скобы №10 оцинкованные, заточенные, в упаковке не менее 1000 шт.</t>
  </si>
  <si>
    <t>Скобы №24/6 оцинкованные, заточенные, в упаковке не менее 1000 шт.</t>
  </si>
  <si>
    <t>Резинки упаковочные не менее 200 гр.</t>
  </si>
  <si>
    <t>Скрепка канц. цвет., не менее 28 мм. 100 шт.</t>
  </si>
  <si>
    <t>Скрепка канц. гофрир.никел. не менее 50 мм по 50 шт.</t>
  </si>
  <si>
    <t>Скрепка канц. цвет. не менее 31 мм. 100 шт.</t>
  </si>
  <si>
    <t>Степлер №10. Пластиковый корпус, металлический механизм, нескользящее основание</t>
  </si>
  <si>
    <t>Степлер №24 до 25 л. Пластиковый корпус, металлический механизм, нескользящее основание</t>
  </si>
  <si>
    <t>Тетрадь не менее 48л. в клетку</t>
  </si>
  <si>
    <t>Ножницы не менее 21 см</t>
  </si>
  <si>
    <t>Точилка пластиковая с контейнером цвета ассорти</t>
  </si>
  <si>
    <t>Конверт А4 на кнопке пластиковый, прозрачный</t>
  </si>
  <si>
    <t>Мультифора А4, плотные не менее 50 мкм, в упаковке не менее 100 шт.</t>
  </si>
  <si>
    <t>Краска штемпельная (синий цвет)</t>
  </si>
  <si>
    <t>Уголок пластиковый ассорти</t>
  </si>
  <si>
    <t>Нож канцелярский, длина лезвия не менее 60 мм, ширина лезвия не менее 9 мм</t>
  </si>
  <si>
    <t>11</t>
  </si>
  <si>
    <t>шт.</t>
  </si>
  <si>
    <t>уп.</t>
  </si>
  <si>
    <t xml:space="preserve">КП 1 </t>
  </si>
  <si>
    <t>пач</t>
  </si>
  <si>
    <t>ИСТОЧНИК</t>
  </si>
  <si>
    <t>Контракт в ЕИС №3742574547523000010</t>
  </si>
  <si>
    <t>Контракт в ЕИС №1667135626020000048</t>
  </si>
  <si>
    <t>Контракт в ЕИС №1730201465123000045</t>
  </si>
  <si>
    <t>Контракт в ЕИС №1056207387121000021</t>
  </si>
  <si>
    <t>Контракт в ЕИС №2480300949521000004</t>
  </si>
  <si>
    <t>Контракт в ЕИС №1540810001819000027</t>
  </si>
  <si>
    <t>Контракт в ЕИС №2222402220522000041</t>
  </si>
  <si>
    <t>Контракт в ЕИС №2057200059023000007</t>
  </si>
  <si>
    <t>Контракт в ЕИС №2552805078522000029</t>
  </si>
  <si>
    <t>Контракт в ЕИС №1575177777722000028</t>
  </si>
  <si>
    <t>Контракт в ЕИС №1771203629622000011</t>
  </si>
  <si>
    <t>Контракт в ЕИС №2524300950123000079</t>
  </si>
  <si>
    <t>Контракт в ЕИС №2472700242423000014</t>
  </si>
  <si>
    <t>Контракт в ЕИС №2244304735420000229</t>
  </si>
  <si>
    <t>Контракт в ЕИС №1165905654322000075</t>
  </si>
  <si>
    <t>Контракт в ЕИС №3470404023022000027</t>
  </si>
  <si>
    <t>Контракт в ЕИС №1771203629622000008</t>
  </si>
  <si>
    <t>Контракт в ЕИС №2026000376522000097</t>
  </si>
  <si>
    <t>Контракт в ЕИС №2504502725923000006</t>
  </si>
  <si>
    <t>Контракт в ЕИС №1772470742122000076</t>
  </si>
  <si>
    <t>Контракт в ЕИС №2410502210419000013</t>
  </si>
  <si>
    <t>Контракт в ЕИС №1671500149020000049</t>
  </si>
  <si>
    <t>Контракт в ЕИС №3143302031221000085</t>
  </si>
  <si>
    <t>Контракт в ЕИС №3242200128522000024</t>
  </si>
  <si>
    <t>Контракт в ЕИС №1771202925020000067</t>
  </si>
  <si>
    <t>Контракт в ЕИС №3330103280522000002</t>
  </si>
  <si>
    <t>Контракт в ЕИС №2553700603823000035</t>
  </si>
  <si>
    <t>Контракт в ЕИС №2672900839022000109</t>
  </si>
  <si>
    <t>Контракт в ЕИС №2420705278923000015</t>
  </si>
  <si>
    <t>Контракт в ЕИС №1771002334022000095</t>
  </si>
  <si>
    <t>Контракт в ЕИС №3744100628823000020</t>
  </si>
  <si>
    <t>Контракт в ЕИС №2030901565122000049</t>
  </si>
  <si>
    <t>Контракт в ЕИС №2784137807220000005</t>
  </si>
  <si>
    <t>Контракт в ЕИС №2165501824023000262</t>
  </si>
  <si>
    <t>Контракт в ЕИС №2900101257323000032</t>
  </si>
  <si>
    <t>Контракт в ЕИС №2771446405723000011</t>
  </si>
  <si>
    <t>Контракт в ЕИС №1772231995222001151</t>
  </si>
  <si>
    <t>КП 2</t>
  </si>
  <si>
    <t>КП 3</t>
  </si>
  <si>
    <t>Среднее квадратичное отклонение</t>
  </si>
  <si>
    <t>Коэффициент вариации (%)</t>
  </si>
  <si>
    <t>ОБОСНОВАНИЕ НАЧАЛЬНОЙ (МАКСИМАЛЬНОЙ) ЦЕНЫ ДОГОВОРА
на поставку канцелярских товаров, бумаги и офисных принадлежностей (товаров) для нужд ООО «ТеплоРесурс» с применением метода сопоставимых рыночных цен (анализ рынка)</t>
  </si>
  <si>
    <t xml:space="preserve">Начальная максимальная цена договора без учета НДС 20% - 184 574 (сто восемьдесят четыре тысячи пятьсот семьдесят четыре) руб. 57 коп.
Начальная максимальная цена договора с учетом НДС 20% - 221 489 (двести двадцать одна тысяча четыреста восемьдесят девять) руб. 48 коп.
Начальная (максимальная) цена договора сформирована исходя из средней стоимости товара, в которую входят стоимость доставки товара до места поставки, все налоги, пошлины, 
сборы и обязательные платежи в соответствии с действующим законодательством Российской Федерации, транспортные расходы, страховые расходы, расходы по выполнению погрузочно-разгрузочных работ, а также все иные расходы.
 </t>
  </si>
  <si>
    <t>2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</si>
  <si>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</si>
  <si>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</si>
  <si>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</si>
  <si>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</si>
  <si>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</si>
  <si>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</si>
  <si>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</si>
  <si>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</si>
  <si>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</si>
  <si>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</si>
  <si>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</si>
  <si>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</si>
  <si>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</si>
  <si>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</si>
  <si>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</si>
  <si>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</si>
  <si>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</si>
  <si>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</si>
  <si>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</si>
  <si>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</si>
  <si>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</si>
  <si>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</si>
  <si>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</si>
  <si>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</si>
  <si>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</si>
  <si>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</si>
  <si>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</si>
  <si>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</si>
  <si>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Врио генерального директора ООО "ТеплоРесурс"                                                                   Ю.С. Грищук</t>
  </si>
  <si>
    <t xml:space="preserve">Начальная (максимальная)цена единицы,
 без НДС, руб. </t>
  </si>
  <si>
    <t xml:space="preserve">Начальная (максимальная)цена единицы,
 с НДС, руб. </t>
  </si>
  <si>
    <t xml:space="preserve">Начальная (максимальная)цена всего объема,
 без НДС, руб. </t>
  </si>
  <si>
    <t xml:space="preserve">Начальная (максимальная)цена всего объема,
 с НДС,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</si>
</sst>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"/>
    <numFmt numFmtId="165" formatCode="#,##0.0"/>
    <numFmt numFmtId="166" formatCode="0.0000"/>
    <numFmt numFmtId="167" formatCode="#,##0.000"/>
    <numFmt numFmtId="168" formatCode="0.000"/>
    <numFmt numFmtId="169" formatCode="0_)"/>
    <numFmt numFmtId="170" formatCode="_-* #,##0.00_р_._-;\-* #,##0.00_р_._-;_-* &quot;-&quot;??_р_._-;_-@_-"/>
    <numFmt numFmtId="171" formatCode="0.0%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0"/>
      <name val="Courier"/>
      <family val="1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0"/>
      <color rgb="FF003F2F"/>
      <name val="Arial"/>
      <family val="2"/>
      <charset val="204"/>
    </font>
    <font>
      <sz val="9"/>
      <color rgb="FF003F2F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0"/>
      <color rgb="FF003F2F"/>
      <name val="Arial"/>
      <family val="2"/>
      <charset val="204"/>
    </font>
    <font>
      <b/>
      <sz val="9.5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  <fill>
      <patternFill patternType="solid">
        <fgColor rgb="FFF0F6EF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/>
      <top/>
      <bottom style="thin">
        <color rgb="FFA0A0A0"/>
      </bottom>
      <diagonal/>
    </border>
    <border>
      <left/>
      <right style="thin">
        <color rgb="FFA0A0A0"/>
      </right>
      <top/>
      <bottom style="thin">
        <color rgb="FFA0A0A0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/>
      <top style="thin">
        <color rgb="FFACC8BD"/>
      </top>
      <bottom style="thin">
        <color rgb="FFACC8BD"/>
      </bottom>
      <diagonal/>
    </border>
    <border>
      <left/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1" fillId="0" borderId="0"/>
    <xf numFmtId="0" fontId="3" fillId="0" borderId="0"/>
    <xf numFmtId="169" fontId="10" fillId="0" borderId="0"/>
    <xf numFmtId="0" fontId="11" fillId="0" borderId="0"/>
    <xf numFmtId="0" fontId="1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624">
    <xf numFmtId="0" fontId="0" fillId="0" borderId="0" xfId="0"/>
    <xf numFmtId="0" fontId="3" fillId="0" borderId="0" xfId="1"/>
    <xf numFmtId="0" fontId="5" fillId="2" borderId="0" xfId="1" applyFont="1" applyFill="1" applyAlignment="1">
      <alignment horizontal="left"/>
    </xf>
    <xf numFmtId="0" fontId="5" fillId="2" borderId="0" xfId="1" applyFont="1" applyFill="1"/>
    <xf numFmtId="0" fontId="4" fillId="2" borderId="0" xfId="1" applyFont="1" applyFill="1"/>
    <xf numFmtId="0" fontId="3" fillId="2" borderId="0" xfId="1" applyFill="1" applyAlignment="1">
      <alignment horizontal="left"/>
    </xf>
    <xf numFmtId="0" fontId="3" fillId="2" borderId="0" xfId="1" applyFill="1"/>
    <xf numFmtId="0" fontId="2" fillId="2" borderId="0" xfId="1" applyFont="1" applyFill="1"/>
    <xf numFmtId="0" fontId="4" fillId="2" borderId="2" xfId="1" applyFont="1" applyFill="1" applyBorder="1" applyAlignment="1">
      <alignment horizontal="center"/>
    </xf>
    <xf numFmtId="0" fontId="4" fillId="2" borderId="2" xfId="1" applyFont="1" applyFill="1" applyBorder="1"/>
    <xf numFmtId="0" fontId="5" fillId="2" borderId="8" xfId="1" applyFont="1" applyFill="1" applyBorder="1" applyAlignment="1">
      <alignment horizontal="left" wrapText="1"/>
    </xf>
    <xf numFmtId="0" fontId="5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center" wrapText="1"/>
    </xf>
    <xf numFmtId="0" fontId="5" fillId="2" borderId="10" xfId="1" applyFont="1" applyFill="1" applyBorder="1" applyAlignment="1">
      <alignment horizontal="center" wrapText="1"/>
    </xf>
    <xf numFmtId="0" fontId="5" fillId="2" borderId="11" xfId="1" applyFont="1" applyFill="1" applyBorder="1" applyAlignment="1">
      <alignment horizontal="center" wrapText="1"/>
    </xf>
    <xf numFmtId="0" fontId="4" fillId="2" borderId="12" xfId="1" applyFont="1" applyFill="1" applyBorder="1" applyAlignment="1">
      <alignment horizontal="center" wrapText="1"/>
    </xf>
    <xf numFmtId="0" fontId="4" fillId="2" borderId="8" xfId="1" applyFont="1" applyFill="1" applyBorder="1" applyAlignment="1">
      <alignment horizontal="center" wrapText="1"/>
    </xf>
    <xf numFmtId="0" fontId="5" fillId="2" borderId="12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/>
    </xf>
    <xf numFmtId="0" fontId="4" fillId="2" borderId="16" xfId="1" applyFont="1" applyFill="1" applyBorder="1" applyAlignment="1">
      <alignment horizontal="center"/>
    </xf>
    <xf numFmtId="0" fontId="5" fillId="2" borderId="17" xfId="1" applyFont="1" applyFill="1" applyBorder="1" applyAlignment="1">
      <alignment horizontal="left" wrapText="1"/>
    </xf>
    <xf numFmtId="0" fontId="5" fillId="2" borderId="18" xfId="1" applyFont="1" applyFill="1" applyBorder="1" applyAlignment="1">
      <alignment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wrapText="1"/>
    </xf>
    <xf numFmtId="0" fontId="5" fillId="2" borderId="23" xfId="1" applyFont="1" applyFill="1" applyBorder="1" applyAlignment="1">
      <alignment horizontal="center" wrapText="1"/>
    </xf>
    <xf numFmtId="0" fontId="4" fillId="2" borderId="24" xfId="1" applyFont="1" applyFill="1" applyBorder="1" applyAlignment="1">
      <alignment horizontal="center" wrapText="1"/>
    </xf>
    <xf numFmtId="0" fontId="5" fillId="2" borderId="19" xfId="1" applyFont="1" applyFill="1" applyBorder="1" applyAlignment="1">
      <alignment horizontal="center" wrapText="1"/>
    </xf>
    <xf numFmtId="0" fontId="4" fillId="2" borderId="25" xfId="1" applyFont="1" applyFill="1" applyBorder="1" applyAlignment="1">
      <alignment horizontal="center" wrapText="1"/>
    </xf>
    <xf numFmtId="0" fontId="4" fillId="2" borderId="18" xfId="1" applyFont="1" applyFill="1" applyBorder="1" applyAlignment="1">
      <alignment horizontal="center" wrapText="1"/>
    </xf>
    <xf numFmtId="0" fontId="4" fillId="2" borderId="17" xfId="1" applyFont="1" applyFill="1" applyBorder="1" applyAlignment="1">
      <alignment horizontal="center" wrapText="1"/>
    </xf>
    <xf numFmtId="0" fontId="4" fillId="2" borderId="26" xfId="1" applyFont="1" applyFill="1" applyBorder="1" applyAlignment="1">
      <alignment horizontal="left"/>
    </xf>
    <xf numFmtId="0" fontId="4" fillId="2" borderId="13" xfId="1" applyFont="1" applyFill="1" applyBorder="1"/>
    <xf numFmtId="2" fontId="4" fillId="2" borderId="27" xfId="1" applyNumberFormat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  <xf numFmtId="2" fontId="4" fillId="2" borderId="28" xfId="1" applyNumberFormat="1" applyFont="1" applyFill="1" applyBorder="1" applyAlignment="1">
      <alignment horizontal="center"/>
    </xf>
    <xf numFmtId="2" fontId="4" fillId="2" borderId="15" xfId="1" applyNumberFormat="1" applyFont="1" applyFill="1" applyBorder="1" applyAlignment="1">
      <alignment horizontal="center"/>
    </xf>
    <xf numFmtId="2" fontId="4" fillId="2" borderId="16" xfId="1" applyNumberFormat="1" applyFont="1" applyFill="1" applyBorder="1" applyAlignment="1">
      <alignment horizontal="center"/>
    </xf>
    <xf numFmtId="2" fontId="4" fillId="2" borderId="14" xfId="1" applyNumberFormat="1" applyFont="1" applyFill="1" applyBorder="1" applyAlignment="1">
      <alignment horizontal="center" wrapText="1"/>
    </xf>
    <xf numFmtId="2" fontId="4" fillId="2" borderId="29" xfId="1" applyNumberFormat="1" applyFont="1" applyFill="1" applyBorder="1" applyAlignment="1">
      <alignment horizontal="center" wrapText="1"/>
    </xf>
    <xf numFmtId="2" fontId="4" fillId="2" borderId="13" xfId="1" applyNumberFormat="1" applyFont="1" applyFill="1" applyBorder="1" applyAlignment="1">
      <alignment horizontal="center"/>
    </xf>
    <xf numFmtId="2" fontId="4" fillId="2" borderId="26" xfId="1" applyNumberFormat="1" applyFont="1" applyFill="1" applyBorder="1" applyAlignment="1">
      <alignment horizontal="center" wrapText="1"/>
    </xf>
    <xf numFmtId="0" fontId="5" fillId="2" borderId="26" xfId="1" applyFont="1" applyFill="1" applyBorder="1" applyAlignment="1">
      <alignment horizontal="left"/>
    </xf>
    <xf numFmtId="0" fontId="5" fillId="2" borderId="13" xfId="1" applyFont="1" applyFill="1" applyBorder="1" applyAlignment="1">
      <alignment horizontal="center" vertical="center"/>
    </xf>
    <xf numFmtId="4" fontId="5" fillId="2" borderId="27" xfId="1" applyNumberFormat="1" applyFont="1" applyFill="1" applyBorder="1" applyAlignment="1">
      <alignment horizontal="center"/>
    </xf>
    <xf numFmtId="4" fontId="5" fillId="2" borderId="1" xfId="1" applyNumberFormat="1" applyFont="1" applyFill="1" applyBorder="1" applyAlignment="1">
      <alignment horizontal="center"/>
    </xf>
    <xf numFmtId="4" fontId="5" fillId="2" borderId="28" xfId="1" applyNumberFormat="1" applyFont="1" applyFill="1" applyBorder="1" applyAlignment="1">
      <alignment horizontal="center"/>
    </xf>
    <xf numFmtId="4" fontId="4" fillId="2" borderId="1" xfId="1" applyNumberFormat="1" applyFont="1" applyFill="1" applyBorder="1" applyAlignment="1">
      <alignment horizontal="center" vertical="center"/>
    </xf>
    <xf numFmtId="4" fontId="5" fillId="2" borderId="15" xfId="1" applyNumberFormat="1" applyFont="1" applyFill="1" applyBorder="1" applyAlignment="1">
      <alignment horizontal="center"/>
    </xf>
    <xf numFmtId="4" fontId="5" fillId="2" borderId="16" xfId="1" applyNumberFormat="1" applyFont="1" applyFill="1" applyBorder="1" applyAlignment="1">
      <alignment horizontal="center"/>
    </xf>
    <xf numFmtId="4" fontId="4" fillId="2" borderId="14" xfId="1" applyNumberFormat="1" applyFont="1" applyFill="1" applyBorder="1" applyAlignment="1">
      <alignment horizontal="center"/>
    </xf>
    <xf numFmtId="4" fontId="4" fillId="2" borderId="29" xfId="1" applyNumberFormat="1" applyFont="1" applyFill="1" applyBorder="1" applyAlignment="1">
      <alignment horizontal="center"/>
    </xf>
    <xf numFmtId="4" fontId="4" fillId="2" borderId="13" xfId="1" applyNumberFormat="1" applyFont="1" applyFill="1" applyBorder="1" applyAlignment="1">
      <alignment horizontal="center"/>
    </xf>
    <xf numFmtId="0" fontId="5" fillId="2" borderId="26" xfId="1" applyFont="1" applyFill="1" applyBorder="1" applyAlignment="1">
      <alignment horizontal="left" wrapText="1"/>
    </xf>
    <xf numFmtId="0" fontId="5" fillId="2" borderId="27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26" xfId="1" applyFont="1" applyFill="1" applyBorder="1" applyAlignment="1">
      <alignment horizontal="center"/>
    </xf>
    <xf numFmtId="2" fontId="5" fillId="2" borderId="27" xfId="1" applyNumberFormat="1" applyFont="1" applyFill="1" applyBorder="1" applyAlignment="1">
      <alignment horizontal="center"/>
    </xf>
    <xf numFmtId="2" fontId="5" fillId="2" borderId="1" xfId="1" applyNumberFormat="1" applyFont="1" applyFill="1" applyBorder="1" applyAlignment="1">
      <alignment horizontal="center"/>
    </xf>
    <xf numFmtId="2" fontId="5" fillId="2" borderId="28" xfId="1" applyNumberFormat="1" applyFont="1" applyFill="1" applyBorder="1" applyAlignment="1">
      <alignment horizontal="center"/>
    </xf>
    <xf numFmtId="4" fontId="4" fillId="2" borderId="17" xfId="1" applyNumberFormat="1" applyFont="1" applyFill="1" applyBorder="1" applyAlignment="1">
      <alignment horizontal="center" vertical="center"/>
    </xf>
    <xf numFmtId="2" fontId="5" fillId="2" borderId="15" xfId="1" applyNumberFormat="1" applyFont="1" applyFill="1" applyBorder="1" applyAlignment="1">
      <alignment horizontal="center"/>
    </xf>
    <xf numFmtId="2" fontId="5" fillId="2" borderId="16" xfId="1" applyNumberFormat="1" applyFont="1" applyFill="1" applyBorder="1" applyAlignment="1">
      <alignment horizontal="center"/>
    </xf>
    <xf numFmtId="0" fontId="4" fillId="2" borderId="26" xfId="1" applyFont="1" applyFill="1" applyBorder="1" applyAlignment="1">
      <alignment horizontal="left" vertical="center" wrapText="1"/>
    </xf>
    <xf numFmtId="2" fontId="4" fillId="2" borderId="27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28" xfId="1" applyNumberFormat="1" applyFont="1" applyFill="1" applyBorder="1" applyAlignment="1">
      <alignment horizontal="center" vertical="center"/>
    </xf>
    <xf numFmtId="2" fontId="4" fillId="2" borderId="15" xfId="1" applyNumberFormat="1" applyFont="1" applyFill="1" applyBorder="1" applyAlignment="1">
      <alignment horizontal="center" vertical="center"/>
    </xf>
    <xf numFmtId="2" fontId="4" fillId="2" borderId="16" xfId="1" applyNumberFormat="1" applyFont="1" applyFill="1" applyBorder="1" applyAlignment="1">
      <alignment horizontal="center" vertical="center"/>
    </xf>
    <xf numFmtId="2" fontId="4" fillId="2" borderId="14" xfId="1" applyNumberFormat="1" applyFont="1" applyFill="1" applyBorder="1" applyAlignment="1">
      <alignment horizontal="center" vertical="center" wrapText="1"/>
    </xf>
    <xf numFmtId="2" fontId="4" fillId="2" borderId="29" xfId="1" applyNumberFormat="1" applyFont="1" applyFill="1" applyBorder="1" applyAlignment="1">
      <alignment horizontal="center" vertical="center" wrapText="1"/>
    </xf>
    <xf numFmtId="2" fontId="4" fillId="2" borderId="13" xfId="1" applyNumberFormat="1" applyFont="1" applyFill="1" applyBorder="1" applyAlignment="1">
      <alignment horizontal="center" vertical="center"/>
    </xf>
    <xf numFmtId="2" fontId="4" fillId="2" borderId="26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2" borderId="30" xfId="1" applyFont="1" applyFill="1" applyBorder="1" applyAlignment="1">
      <alignment horizontal="left"/>
    </xf>
    <xf numFmtId="0" fontId="5" fillId="2" borderId="31" xfId="1" applyFont="1" applyFill="1" applyBorder="1" applyAlignment="1">
      <alignment horizontal="center" vertical="center"/>
    </xf>
    <xf numFmtId="2" fontId="5" fillId="2" borderId="32" xfId="1" applyNumberFormat="1" applyFont="1" applyFill="1" applyBorder="1" applyAlignment="1">
      <alignment horizontal="center"/>
    </xf>
    <xf numFmtId="2" fontId="5" fillId="2" borderId="33" xfId="1" applyNumberFormat="1" applyFont="1" applyFill="1" applyBorder="1" applyAlignment="1">
      <alignment horizontal="center"/>
    </xf>
    <xf numFmtId="2" fontId="5" fillId="2" borderId="34" xfId="1" applyNumberFormat="1" applyFont="1" applyFill="1" applyBorder="1" applyAlignment="1">
      <alignment horizontal="center"/>
    </xf>
    <xf numFmtId="2" fontId="5" fillId="2" borderId="35" xfId="1" applyNumberFormat="1" applyFont="1" applyFill="1" applyBorder="1" applyAlignment="1">
      <alignment horizontal="center"/>
    </xf>
    <xf numFmtId="2" fontId="5" fillId="2" borderId="36" xfId="1" applyNumberFormat="1" applyFont="1" applyFill="1" applyBorder="1" applyAlignment="1">
      <alignment horizontal="center"/>
    </xf>
    <xf numFmtId="2" fontId="4" fillId="2" borderId="37" xfId="1" applyNumberFormat="1" applyFont="1" applyFill="1" applyBorder="1" applyAlignment="1">
      <alignment horizontal="center" wrapText="1"/>
    </xf>
    <xf numFmtId="2" fontId="4" fillId="2" borderId="38" xfId="1" applyNumberFormat="1" applyFont="1" applyFill="1" applyBorder="1" applyAlignment="1">
      <alignment horizontal="center" wrapText="1"/>
    </xf>
    <xf numFmtId="2" fontId="4" fillId="2" borderId="31" xfId="1" applyNumberFormat="1" applyFont="1" applyFill="1" applyBorder="1" applyAlignment="1">
      <alignment horizontal="center"/>
    </xf>
    <xf numFmtId="2" fontId="4" fillId="2" borderId="30" xfId="1" applyNumberFormat="1" applyFont="1" applyFill="1" applyBorder="1" applyAlignment="1">
      <alignment horizontal="center" wrapText="1"/>
    </xf>
    <xf numFmtId="0" fontId="4" fillId="2" borderId="39" xfId="1" applyFont="1" applyFill="1" applyBorder="1" applyAlignment="1">
      <alignment horizontal="left" wrapText="1"/>
    </xf>
    <xf numFmtId="0" fontId="4" fillId="2" borderId="39" xfId="1" applyFont="1" applyFill="1" applyBorder="1" applyAlignment="1">
      <alignment horizontal="center" vertical="center"/>
    </xf>
    <xf numFmtId="2" fontId="4" fillId="2" borderId="40" xfId="1" applyNumberFormat="1" applyFont="1" applyFill="1" applyBorder="1" applyAlignment="1">
      <alignment horizontal="center" vertical="center"/>
    </xf>
    <xf numFmtId="2" fontId="4" fillId="2" borderId="40" xfId="1" applyNumberFormat="1" applyFont="1" applyFill="1" applyBorder="1" applyAlignment="1">
      <alignment horizontal="center"/>
    </xf>
    <xf numFmtId="2" fontId="4" fillId="2" borderId="41" xfId="1" applyNumberFormat="1" applyFont="1" applyFill="1" applyBorder="1" applyAlignment="1">
      <alignment horizontal="center"/>
    </xf>
    <xf numFmtId="2" fontId="4" fillId="2" borderId="39" xfId="1" applyNumberFormat="1" applyFont="1" applyFill="1" applyBorder="1" applyAlignment="1">
      <alignment horizontal="center" wrapText="1"/>
    </xf>
    <xf numFmtId="2" fontId="4" fillId="2" borderId="42" xfId="1" applyNumberFormat="1" applyFont="1" applyFill="1" applyBorder="1" applyAlignment="1">
      <alignment horizontal="center"/>
    </xf>
    <xf numFmtId="2" fontId="4" fillId="2" borderId="43" xfId="1" applyNumberFormat="1" applyFont="1" applyFill="1" applyBorder="1" applyAlignment="1">
      <alignment horizontal="center"/>
    </xf>
    <xf numFmtId="2" fontId="4" fillId="2" borderId="39" xfId="1" applyNumberFormat="1" applyFont="1" applyFill="1" applyBorder="1" applyAlignment="1">
      <alignment horizontal="center"/>
    </xf>
    <xf numFmtId="0" fontId="4" fillId="2" borderId="2" xfId="1" applyFont="1" applyFill="1" applyBorder="1" applyAlignment="1">
      <alignment horizontal="left" wrapText="1"/>
    </xf>
    <xf numFmtId="0" fontId="4" fillId="2" borderId="6" xfId="1" applyFont="1" applyFill="1" applyBorder="1" applyAlignment="1">
      <alignment horizontal="center" vertical="center"/>
    </xf>
    <xf numFmtId="2" fontId="4" fillId="2" borderId="47" xfId="1" applyNumberFormat="1" applyFont="1" applyFill="1" applyBorder="1" applyAlignment="1">
      <alignment horizontal="center"/>
    </xf>
    <xf numFmtId="2" fontId="4" fillId="2" borderId="48" xfId="1" applyNumberFormat="1" applyFont="1" applyFill="1" applyBorder="1" applyAlignment="1">
      <alignment horizontal="center"/>
    </xf>
    <xf numFmtId="2" fontId="4" fillId="2" borderId="49" xfId="1" applyNumberFormat="1" applyFont="1" applyFill="1" applyBorder="1" applyAlignment="1">
      <alignment horizontal="center"/>
    </xf>
    <xf numFmtId="2" fontId="4" fillId="2" borderId="50" xfId="1" applyNumberFormat="1" applyFont="1" applyFill="1" applyBorder="1" applyAlignment="1">
      <alignment horizontal="center"/>
    </xf>
    <xf numFmtId="2" fontId="4" fillId="2" borderId="51" xfId="1" applyNumberFormat="1" applyFont="1" applyFill="1" applyBorder="1" applyAlignment="1">
      <alignment horizontal="center"/>
    </xf>
    <xf numFmtId="2" fontId="4" fillId="2" borderId="2" xfId="1" applyNumberFormat="1" applyFont="1" applyFill="1" applyBorder="1" applyAlignment="1">
      <alignment horizontal="center"/>
    </xf>
    <xf numFmtId="2" fontId="4" fillId="2" borderId="7" xfId="1" applyNumberFormat="1" applyFont="1" applyFill="1" applyBorder="1" applyAlignment="1">
      <alignment horizontal="center"/>
    </xf>
    <xf numFmtId="2" fontId="4" fillId="2" borderId="2" xfId="1" applyNumberFormat="1" applyFont="1" applyFill="1" applyBorder="1" applyAlignment="1">
      <alignment horizontal="center" wrapText="1"/>
    </xf>
    <xf numFmtId="4" fontId="4" fillId="2" borderId="26" xfId="1" applyNumberFormat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165" fontId="4" fillId="2" borderId="26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/>
    </xf>
    <xf numFmtId="0" fontId="4" fillId="2" borderId="26" xfId="1" applyFont="1" applyFill="1" applyBorder="1" applyAlignment="1">
      <alignment horizontal="center"/>
    </xf>
    <xf numFmtId="0" fontId="4" fillId="2" borderId="14" xfId="1" applyFont="1" applyFill="1" applyBorder="1" applyAlignment="1">
      <alignment horizontal="center"/>
    </xf>
    <xf numFmtId="2" fontId="4" fillId="2" borderId="26" xfId="1" applyNumberFormat="1" applyFont="1" applyFill="1" applyBorder="1" applyAlignment="1">
      <alignment horizontal="center"/>
    </xf>
    <xf numFmtId="2" fontId="5" fillId="2" borderId="14" xfId="1" applyNumberFormat="1" applyFont="1" applyFill="1" applyBorder="1" applyAlignment="1">
      <alignment horizontal="center"/>
    </xf>
    <xf numFmtId="2" fontId="4" fillId="2" borderId="14" xfId="1" applyNumberFormat="1" applyFont="1" applyFill="1" applyBorder="1" applyAlignment="1">
      <alignment horizontal="center"/>
    </xf>
    <xf numFmtId="0" fontId="5" fillId="2" borderId="26" xfId="1" applyFont="1" applyFill="1" applyBorder="1" applyAlignment="1">
      <alignment horizontal="left" vertical="center" wrapText="1"/>
    </xf>
    <xf numFmtId="166" fontId="5" fillId="2" borderId="27" xfId="1" applyNumberFormat="1" applyFont="1" applyFill="1" applyBorder="1" applyAlignment="1">
      <alignment horizontal="center" vertical="center"/>
    </xf>
    <xf numFmtId="166" fontId="5" fillId="2" borderId="1" xfId="1" applyNumberFormat="1" applyFont="1" applyFill="1" applyBorder="1" applyAlignment="1">
      <alignment horizontal="center" vertical="center"/>
    </xf>
    <xf numFmtId="166" fontId="5" fillId="2" borderId="16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6" fontId="5" fillId="2" borderId="15" xfId="1" applyNumberFormat="1" applyFont="1" applyFill="1" applyBorder="1" applyAlignment="1">
      <alignment horizontal="center" vertical="center"/>
    </xf>
    <xf numFmtId="166" fontId="5" fillId="2" borderId="28" xfId="1" applyNumberFormat="1" applyFont="1" applyFill="1" applyBorder="1" applyAlignment="1">
      <alignment horizontal="center" vertical="center"/>
    </xf>
    <xf numFmtId="166" fontId="4" fillId="2" borderId="26" xfId="1" applyNumberFormat="1" applyFont="1" applyFill="1" applyBorder="1" applyAlignment="1">
      <alignment horizontal="center" vertical="center"/>
    </xf>
    <xf numFmtId="166" fontId="5" fillId="2" borderId="14" xfId="1" applyNumberFormat="1" applyFont="1" applyFill="1" applyBorder="1" applyAlignment="1">
      <alignment horizontal="center" vertical="center"/>
    </xf>
    <xf numFmtId="166" fontId="4" fillId="2" borderId="14" xfId="1" applyNumberFormat="1" applyFont="1" applyFill="1" applyBorder="1" applyAlignment="1">
      <alignment horizontal="center" vertical="center"/>
    </xf>
    <xf numFmtId="166" fontId="5" fillId="2" borderId="15" xfId="1" applyNumberFormat="1" applyFont="1" applyFill="1" applyBorder="1" applyAlignment="1">
      <alignment horizontal="center"/>
    </xf>
    <xf numFmtId="166" fontId="5" fillId="2" borderId="28" xfId="1" applyNumberFormat="1" applyFont="1" applyFill="1" applyBorder="1" applyAlignment="1">
      <alignment horizontal="center"/>
    </xf>
    <xf numFmtId="166" fontId="4" fillId="2" borderId="26" xfId="1" applyNumberFormat="1" applyFont="1" applyFill="1" applyBorder="1" applyAlignment="1">
      <alignment horizontal="center"/>
    </xf>
    <xf numFmtId="166" fontId="5" fillId="2" borderId="14" xfId="1" applyNumberFormat="1" applyFont="1" applyFill="1" applyBorder="1" applyAlignment="1">
      <alignment horizontal="center"/>
    </xf>
    <xf numFmtId="166" fontId="4" fillId="2" borderId="14" xfId="1" applyNumberFormat="1" applyFont="1" applyFill="1" applyBorder="1" applyAlignment="1">
      <alignment horizontal="center"/>
    </xf>
    <xf numFmtId="166" fontId="5" fillId="2" borderId="27" xfId="1" applyNumberFormat="1" applyFont="1" applyFill="1" applyBorder="1" applyAlignment="1">
      <alignment horizontal="center"/>
    </xf>
    <xf numFmtId="166" fontId="5" fillId="2" borderId="16" xfId="1" applyNumberFormat="1" applyFont="1" applyFill="1" applyBorder="1" applyAlignment="1">
      <alignment horizontal="center"/>
    </xf>
    <xf numFmtId="0" fontId="7" fillId="2" borderId="17" xfId="2" applyFont="1" applyFill="1" applyBorder="1" applyAlignment="1">
      <alignment horizontal="left" vertical="center" wrapText="1"/>
    </xf>
    <xf numFmtId="168" fontId="5" fillId="2" borderId="27" xfId="1" applyNumberFormat="1" applyFont="1" applyFill="1" applyBorder="1" applyAlignment="1">
      <alignment horizontal="center"/>
    </xf>
    <xf numFmtId="168" fontId="5" fillId="2" borderId="1" xfId="1" applyNumberFormat="1" applyFont="1" applyFill="1" applyBorder="1" applyAlignment="1">
      <alignment horizontal="center"/>
    </xf>
    <xf numFmtId="168" fontId="5" fillId="2" borderId="16" xfId="1" applyNumberFormat="1" applyFont="1" applyFill="1" applyBorder="1" applyAlignment="1">
      <alignment horizontal="center"/>
    </xf>
    <xf numFmtId="168" fontId="5" fillId="2" borderId="15" xfId="1" applyNumberFormat="1" applyFont="1" applyFill="1" applyBorder="1" applyAlignment="1">
      <alignment horizontal="center"/>
    </xf>
    <xf numFmtId="168" fontId="5" fillId="2" borderId="28" xfId="1" applyNumberFormat="1" applyFont="1" applyFill="1" applyBorder="1" applyAlignment="1">
      <alignment horizontal="center"/>
    </xf>
    <xf numFmtId="168" fontId="4" fillId="2" borderId="26" xfId="1" applyNumberFormat="1" applyFont="1" applyFill="1" applyBorder="1" applyAlignment="1">
      <alignment horizontal="center"/>
    </xf>
    <xf numFmtId="168" fontId="5" fillId="2" borderId="14" xfId="1" applyNumberFormat="1" applyFont="1" applyFill="1" applyBorder="1" applyAlignment="1">
      <alignment horizontal="center"/>
    </xf>
    <xf numFmtId="168" fontId="4" fillId="2" borderId="14" xfId="1" applyNumberFormat="1" applyFont="1" applyFill="1" applyBorder="1" applyAlignment="1">
      <alignment horizontal="center"/>
    </xf>
    <xf numFmtId="2" fontId="5" fillId="2" borderId="27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2" fontId="5" fillId="2" borderId="16" xfId="1" applyNumberFormat="1" applyFont="1" applyFill="1" applyBorder="1" applyAlignment="1">
      <alignment horizontal="center" vertical="center"/>
    </xf>
    <xf numFmtId="2" fontId="5" fillId="2" borderId="15" xfId="1" applyNumberFormat="1" applyFont="1" applyFill="1" applyBorder="1" applyAlignment="1">
      <alignment horizontal="center" vertical="center"/>
    </xf>
    <xf numFmtId="2" fontId="5" fillId="2" borderId="28" xfId="1" applyNumberFormat="1" applyFont="1" applyFill="1" applyBorder="1" applyAlignment="1">
      <alignment horizontal="center" vertical="center"/>
    </xf>
    <xf numFmtId="2" fontId="4" fillId="2" borderId="26" xfId="1" applyNumberFormat="1" applyFont="1" applyFill="1" applyBorder="1" applyAlignment="1">
      <alignment horizontal="center" vertical="center"/>
    </xf>
    <xf numFmtId="2" fontId="5" fillId="2" borderId="14" xfId="1" applyNumberFormat="1" applyFont="1" applyFill="1" applyBorder="1" applyAlignment="1">
      <alignment horizontal="center" vertical="center"/>
    </xf>
    <xf numFmtId="2" fontId="4" fillId="2" borderId="14" xfId="1" applyNumberFormat="1" applyFont="1" applyFill="1" applyBorder="1" applyAlignment="1">
      <alignment horizontal="center" vertical="center"/>
    </xf>
    <xf numFmtId="0" fontId="5" fillId="2" borderId="52" xfId="1" applyFont="1" applyFill="1" applyBorder="1" applyAlignment="1">
      <alignment horizontal="center" vertical="center"/>
    </xf>
    <xf numFmtId="2" fontId="5" fillId="2" borderId="32" xfId="1" applyNumberFormat="1" applyFont="1" applyFill="1" applyBorder="1" applyAlignment="1">
      <alignment horizontal="center" vertical="center"/>
    </xf>
    <xf numFmtId="4" fontId="5" fillId="2" borderId="32" xfId="1" applyNumberFormat="1" applyFont="1" applyFill="1" applyBorder="1" applyAlignment="1">
      <alignment horizontal="center" vertical="center"/>
    </xf>
    <xf numFmtId="2" fontId="5" fillId="2" borderId="30" xfId="1" applyNumberFormat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left"/>
    </xf>
    <xf numFmtId="0" fontId="4" fillId="2" borderId="12" xfId="1" applyFont="1" applyFill="1" applyBorder="1" applyAlignment="1">
      <alignment horizontal="center" vertical="center"/>
    </xf>
    <xf numFmtId="2" fontId="4" fillId="2" borderId="53" xfId="1" applyNumberFormat="1" applyFont="1" applyFill="1" applyBorder="1" applyAlignment="1">
      <alignment horizontal="center"/>
    </xf>
    <xf numFmtId="2" fontId="4" fillId="2" borderId="54" xfId="1" applyNumberFormat="1" applyFont="1" applyFill="1" applyBorder="1" applyAlignment="1">
      <alignment horizontal="center"/>
    </xf>
    <xf numFmtId="2" fontId="4" fillId="2" borderId="55" xfId="1" applyNumberFormat="1" applyFont="1" applyFill="1" applyBorder="1" applyAlignment="1">
      <alignment horizontal="center"/>
    </xf>
    <xf numFmtId="4" fontId="4" fillId="2" borderId="2" xfId="1" applyNumberFormat="1" applyFont="1" applyFill="1" applyBorder="1" applyAlignment="1">
      <alignment horizontal="center" vertical="center"/>
    </xf>
    <xf numFmtId="2" fontId="4" fillId="2" borderId="12" xfId="1" applyNumberFormat="1" applyFont="1" applyFill="1" applyBorder="1" applyAlignment="1">
      <alignment horizontal="center"/>
    </xf>
    <xf numFmtId="2" fontId="4" fillId="2" borderId="56" xfId="1" applyNumberFormat="1" applyFont="1" applyFill="1" applyBorder="1" applyAlignment="1">
      <alignment horizontal="center"/>
    </xf>
    <xf numFmtId="2" fontId="4" fillId="2" borderId="57" xfId="1" applyNumberFormat="1" applyFont="1" applyFill="1" applyBorder="1" applyAlignment="1">
      <alignment horizontal="center"/>
    </xf>
    <xf numFmtId="2" fontId="4" fillId="2" borderId="58" xfId="1" applyNumberFormat="1" applyFont="1" applyFill="1" applyBorder="1" applyAlignment="1">
      <alignment horizontal="center"/>
    </xf>
    <xf numFmtId="2" fontId="4" fillId="2" borderId="59" xfId="1" applyNumberFormat="1" applyFont="1" applyFill="1" applyBorder="1" applyAlignment="1">
      <alignment horizontal="center"/>
    </xf>
    <xf numFmtId="2" fontId="4" fillId="2" borderId="12" xfId="1" applyNumberFormat="1" applyFont="1" applyFill="1" applyBorder="1" applyAlignment="1">
      <alignment horizontal="center" wrapText="1"/>
    </xf>
    <xf numFmtId="0" fontId="4" fillId="2" borderId="60" xfId="1" applyFont="1" applyFill="1" applyBorder="1" applyAlignment="1">
      <alignment horizontal="left" wrapText="1"/>
    </xf>
    <xf numFmtId="2" fontId="4" fillId="2" borderId="61" xfId="1" applyNumberFormat="1" applyFont="1" applyFill="1" applyBorder="1" applyAlignment="1">
      <alignment horizontal="center" vertical="center"/>
    </xf>
    <xf numFmtId="4" fontId="4" fillId="2" borderId="62" xfId="1" applyNumberFormat="1" applyFont="1" applyFill="1" applyBorder="1" applyAlignment="1">
      <alignment horizontal="center" vertical="center"/>
    </xf>
    <xf numFmtId="2" fontId="4" fillId="2" borderId="61" xfId="1" applyNumberFormat="1" applyFont="1" applyFill="1" applyBorder="1" applyAlignment="1">
      <alignment horizontal="center"/>
    </xf>
    <xf numFmtId="2" fontId="4" fillId="2" borderId="63" xfId="1" applyNumberFormat="1" applyFont="1" applyFill="1" applyBorder="1" applyAlignment="1">
      <alignment horizontal="center" wrapText="1"/>
    </xf>
    <xf numFmtId="0" fontId="4" fillId="2" borderId="47" xfId="1" applyFont="1" applyFill="1" applyBorder="1" applyAlignment="1">
      <alignment horizontal="left"/>
    </xf>
    <xf numFmtId="0" fontId="4" fillId="2" borderId="48" xfId="1" applyFont="1" applyFill="1" applyBorder="1" applyAlignment="1">
      <alignment horizontal="center" vertical="center"/>
    </xf>
    <xf numFmtId="4" fontId="4" fillId="2" borderId="49" xfId="1" applyNumberFormat="1" applyFont="1" applyFill="1" applyBorder="1" applyAlignment="1">
      <alignment horizontal="center" vertical="center"/>
    </xf>
    <xf numFmtId="2" fontId="4" fillId="2" borderId="16" xfId="1" applyNumberFormat="1" applyFont="1" applyFill="1" applyBorder="1" applyAlignment="1">
      <alignment horizontal="center" wrapText="1"/>
    </xf>
    <xf numFmtId="0" fontId="4" fillId="2" borderId="9" xfId="1" applyFont="1" applyFill="1" applyBorder="1" applyAlignment="1">
      <alignment horizontal="left" wrapText="1"/>
    </xf>
    <xf numFmtId="0" fontId="4" fillId="2" borderId="10" xfId="1" applyFont="1" applyFill="1" applyBorder="1" applyAlignment="1">
      <alignment horizontal="center" vertical="center"/>
    </xf>
    <xf numFmtId="2" fontId="5" fillId="2" borderId="66" xfId="1" applyNumberFormat="1" applyFont="1" applyFill="1" applyBorder="1" applyAlignment="1">
      <alignment horizontal="center" vertical="center"/>
    </xf>
    <xf numFmtId="4" fontId="4" fillId="2" borderId="67" xfId="1" applyNumberFormat="1" applyFont="1" applyFill="1" applyBorder="1" applyAlignment="1">
      <alignment horizontal="center" vertical="center" wrapText="1"/>
    </xf>
    <xf numFmtId="2" fontId="4" fillId="2" borderId="66" xfId="1" applyNumberFormat="1" applyFont="1" applyFill="1" applyBorder="1" applyAlignment="1">
      <alignment horizontal="center"/>
    </xf>
    <xf numFmtId="2" fontId="4" fillId="2" borderId="10" xfId="1" applyNumberFormat="1" applyFont="1" applyFill="1" applyBorder="1" applyAlignment="1">
      <alignment horizontal="center"/>
    </xf>
    <xf numFmtId="2" fontId="4" fillId="2" borderId="67" xfId="1" applyNumberFormat="1" applyFont="1" applyFill="1" applyBorder="1" applyAlignment="1">
      <alignment horizontal="center" wrapText="1"/>
    </xf>
    <xf numFmtId="0" fontId="4" fillId="2" borderId="39" xfId="1" applyFont="1" applyFill="1" applyBorder="1" applyAlignment="1">
      <alignment horizontal="left"/>
    </xf>
    <xf numFmtId="0" fontId="4" fillId="2" borderId="39" xfId="1" applyFont="1" applyFill="1" applyBorder="1"/>
    <xf numFmtId="2" fontId="4" fillId="2" borderId="68" xfId="1" applyNumberFormat="1" applyFont="1" applyFill="1" applyBorder="1" applyAlignment="1">
      <alignment horizontal="center"/>
    </xf>
    <xf numFmtId="2" fontId="4" fillId="2" borderId="69" xfId="1" applyNumberFormat="1" applyFont="1" applyFill="1" applyBorder="1" applyAlignment="1">
      <alignment horizontal="center"/>
    </xf>
    <xf numFmtId="4" fontId="4" fillId="2" borderId="63" xfId="1" applyNumberFormat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vertical="center"/>
    </xf>
    <xf numFmtId="0" fontId="5" fillId="2" borderId="50" xfId="1" applyFont="1" applyFill="1" applyBorder="1" applyAlignment="1">
      <alignment horizontal="center" vertical="center"/>
    </xf>
    <xf numFmtId="0" fontId="5" fillId="2" borderId="48" xfId="1" applyFont="1" applyFill="1" applyBorder="1" applyAlignment="1">
      <alignment horizontal="center" vertical="center"/>
    </xf>
    <xf numFmtId="0" fontId="5" fillId="2" borderId="5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5" fillId="2" borderId="47" xfId="1" applyFont="1" applyFill="1" applyBorder="1" applyAlignment="1">
      <alignment horizontal="center" vertical="center"/>
    </xf>
    <xf numFmtId="0" fontId="5" fillId="2" borderId="49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left"/>
    </xf>
    <xf numFmtId="0" fontId="4" fillId="2" borderId="26" xfId="1" applyFont="1" applyFill="1" applyBorder="1"/>
    <xf numFmtId="0" fontId="5" fillId="2" borderId="13" xfId="1" applyFont="1" applyFill="1" applyBorder="1" applyAlignment="1">
      <alignment horizontal="left" vertical="center" wrapText="1"/>
    </xf>
    <xf numFmtId="0" fontId="5" fillId="2" borderId="26" xfId="1" applyFont="1" applyFill="1" applyBorder="1" applyAlignment="1">
      <alignment vertical="center"/>
    </xf>
    <xf numFmtId="2" fontId="5" fillId="2" borderId="15" xfId="1" applyNumberFormat="1" applyFont="1" applyFill="1" applyBorder="1" applyAlignment="1">
      <alignment horizontal="center" vertical="center" wrapText="1"/>
    </xf>
    <xf numFmtId="2" fontId="5" fillId="2" borderId="29" xfId="1" applyNumberFormat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left"/>
    </xf>
    <xf numFmtId="4" fontId="4" fillId="2" borderId="10" xfId="1" applyNumberFormat="1" applyFont="1" applyFill="1" applyBorder="1" applyAlignment="1">
      <alignment horizontal="center" vertical="center"/>
    </xf>
    <xf numFmtId="2" fontId="4" fillId="2" borderId="11" xfId="1" applyNumberFormat="1" applyFont="1" applyFill="1" applyBorder="1" applyAlignment="1">
      <alignment horizontal="center"/>
    </xf>
    <xf numFmtId="2" fontId="4" fillId="2" borderId="8" xfId="1" applyNumberFormat="1" applyFont="1" applyFill="1" applyBorder="1" applyAlignment="1">
      <alignment horizontal="center"/>
    </xf>
    <xf numFmtId="2" fontId="4" fillId="2" borderId="72" xfId="1" applyNumberFormat="1" applyFont="1" applyFill="1" applyBorder="1" applyAlignment="1">
      <alignment horizontal="center"/>
    </xf>
    <xf numFmtId="2" fontId="4" fillId="2" borderId="9" xfId="1" applyNumberFormat="1" applyFont="1" applyFill="1" applyBorder="1" applyAlignment="1">
      <alignment horizontal="center"/>
    </xf>
    <xf numFmtId="2" fontId="4" fillId="2" borderId="67" xfId="1" applyNumberFormat="1" applyFont="1" applyFill="1" applyBorder="1" applyAlignment="1">
      <alignment horizontal="center"/>
    </xf>
    <xf numFmtId="2" fontId="4" fillId="2" borderId="8" xfId="1" applyNumberFormat="1" applyFont="1" applyFill="1" applyBorder="1" applyAlignment="1">
      <alignment horizontal="center" wrapText="1"/>
    </xf>
    <xf numFmtId="0" fontId="8" fillId="0" borderId="60" xfId="1" applyFont="1" applyBorder="1" applyAlignment="1">
      <alignment wrapText="1"/>
    </xf>
    <xf numFmtId="0" fontId="4" fillId="2" borderId="33" xfId="1" applyFont="1" applyFill="1" applyBorder="1" applyAlignment="1">
      <alignment horizontal="center" vertical="center"/>
    </xf>
    <xf numFmtId="2" fontId="9" fillId="0" borderId="61" xfId="1" applyNumberFormat="1" applyFont="1" applyBorder="1"/>
    <xf numFmtId="2" fontId="9" fillId="0" borderId="63" xfId="1" applyNumberFormat="1" applyFont="1" applyBorder="1"/>
    <xf numFmtId="0" fontId="3" fillId="0" borderId="73" xfId="1" applyBorder="1"/>
    <xf numFmtId="0" fontId="3" fillId="0" borderId="74" xfId="1" applyBorder="1"/>
    <xf numFmtId="0" fontId="3" fillId="0" borderId="0" xfId="3"/>
    <xf numFmtId="0" fontId="5" fillId="2" borderId="0" xfId="3" applyFont="1" applyFill="1" applyAlignment="1">
      <alignment horizontal="left"/>
    </xf>
    <xf numFmtId="0" fontId="5" fillId="2" borderId="0" xfId="3" applyFont="1" applyFill="1"/>
    <xf numFmtId="0" fontId="4" fillId="2" borderId="0" xfId="3" applyFont="1" applyFill="1"/>
    <xf numFmtId="0" fontId="3" fillId="2" borderId="0" xfId="3" applyFill="1" applyAlignment="1">
      <alignment horizontal="left"/>
    </xf>
    <xf numFmtId="0" fontId="3" fillId="2" borderId="0" xfId="3" applyFill="1"/>
    <xf numFmtId="0" fontId="2" fillId="2" borderId="0" xfId="3" applyFont="1" applyFill="1"/>
    <xf numFmtId="0" fontId="4" fillId="2" borderId="1" xfId="3" applyFont="1" applyFill="1" applyBorder="1" applyAlignment="1">
      <alignment horizontal="center"/>
    </xf>
    <xf numFmtId="0" fontId="4" fillId="2" borderId="1" xfId="3" applyFont="1" applyFill="1" applyBorder="1"/>
    <xf numFmtId="0" fontId="5" fillId="2" borderId="1" xfId="3" applyFont="1" applyFill="1" applyBorder="1" applyAlignment="1">
      <alignment horizontal="left" wrapText="1"/>
    </xf>
    <xf numFmtId="0" fontId="5" fillId="2" borderId="1" xfId="3" applyFont="1" applyFill="1" applyBorder="1" applyAlignment="1">
      <alignment wrapText="1"/>
    </xf>
    <xf numFmtId="0" fontId="5" fillId="2" borderId="1" xfId="3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 wrapText="1"/>
    </xf>
    <xf numFmtId="0" fontId="5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/>
    </xf>
    <xf numFmtId="2" fontId="4" fillId="2" borderId="1" xfId="3" applyNumberFormat="1" applyFont="1" applyFill="1" applyBorder="1" applyAlignment="1">
      <alignment horizontal="center"/>
    </xf>
    <xf numFmtId="2" fontId="4" fillId="2" borderId="1" xfId="3" applyNumberFormat="1" applyFont="1" applyFill="1" applyBorder="1" applyAlignment="1">
      <alignment horizontal="center" vertical="center"/>
    </xf>
    <xf numFmtId="2" fontId="4" fillId="2" borderId="1" xfId="3" applyNumberFormat="1" applyFont="1" applyFill="1" applyBorder="1" applyAlignment="1">
      <alignment horizontal="center" vertical="center" wrapText="1"/>
    </xf>
    <xf numFmtId="2" fontId="4" fillId="2" borderId="1" xfId="3" applyNumberFormat="1" applyFont="1" applyFill="1" applyBorder="1" applyAlignment="1">
      <alignment horizontal="center" wrapText="1"/>
    </xf>
    <xf numFmtId="0" fontId="5" fillId="2" borderId="1" xfId="3" applyFont="1" applyFill="1" applyBorder="1" applyAlignment="1">
      <alignment horizontal="left"/>
    </xf>
    <xf numFmtId="0" fontId="5" fillId="2" borderId="1" xfId="3" applyFont="1" applyFill="1" applyBorder="1" applyAlignment="1">
      <alignment horizontal="center" vertical="center"/>
    </xf>
    <xf numFmtId="4" fontId="5" fillId="2" borderId="1" xfId="3" applyNumberFormat="1" applyFont="1" applyFill="1" applyBorder="1" applyAlignment="1">
      <alignment horizontal="center"/>
    </xf>
    <xf numFmtId="4" fontId="4" fillId="2" borderId="1" xfId="3" applyNumberFormat="1" applyFont="1" applyFill="1" applyBorder="1" applyAlignment="1">
      <alignment horizontal="center" vertical="center"/>
    </xf>
    <xf numFmtId="4" fontId="5" fillId="2" borderId="1" xfId="3" applyNumberFormat="1" applyFont="1" applyFill="1" applyBorder="1" applyAlignment="1">
      <alignment horizontal="center" vertical="center"/>
    </xf>
    <xf numFmtId="4" fontId="4" fillId="2" borderId="1" xfId="3" applyNumberFormat="1" applyFont="1" applyFill="1" applyBorder="1" applyAlignment="1">
      <alignment horizontal="center"/>
    </xf>
    <xf numFmtId="164" fontId="5" fillId="2" borderId="1" xfId="3" applyNumberFormat="1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165" fontId="5" fillId="2" borderId="1" xfId="3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/>
    </xf>
    <xf numFmtId="2" fontId="5" fillId="2" borderId="1" xfId="3" applyNumberFormat="1" applyFont="1" applyFill="1" applyBorder="1" applyAlignment="1">
      <alignment horizontal="center"/>
    </xf>
    <xf numFmtId="2" fontId="5" fillId="2" borderId="1" xfId="3" applyNumberFormat="1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left" vertical="center" wrapText="1"/>
    </xf>
    <xf numFmtId="0" fontId="5" fillId="3" borderId="1" xfId="3" applyFont="1" applyFill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4" fillId="2" borderId="1" xfId="3" applyFont="1" applyFill="1" applyBorder="1" applyAlignment="1">
      <alignment horizontal="left" wrapText="1"/>
    </xf>
    <xf numFmtId="0" fontId="5" fillId="3" borderId="1" xfId="3" applyFont="1" applyFill="1" applyBorder="1" applyAlignment="1">
      <alignment horizontal="center" vertical="center"/>
    </xf>
    <xf numFmtId="165" fontId="4" fillId="2" borderId="1" xfId="3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left" vertical="center" wrapText="1"/>
    </xf>
    <xf numFmtId="166" fontId="5" fillId="2" borderId="1" xfId="3" applyNumberFormat="1" applyFont="1" applyFill="1" applyBorder="1" applyAlignment="1">
      <alignment horizontal="center" vertical="center"/>
    </xf>
    <xf numFmtId="167" fontId="4" fillId="2" borderId="1" xfId="3" applyNumberFormat="1" applyFont="1" applyFill="1" applyBorder="1" applyAlignment="1">
      <alignment horizontal="center" vertical="center"/>
    </xf>
    <xf numFmtId="166" fontId="4" fillId="2" borderId="1" xfId="3" applyNumberFormat="1" applyFont="1" applyFill="1" applyBorder="1" applyAlignment="1">
      <alignment horizontal="center" vertical="center"/>
    </xf>
    <xf numFmtId="166" fontId="5" fillId="2" borderId="1" xfId="3" applyNumberFormat="1" applyFont="1" applyFill="1" applyBorder="1" applyAlignment="1">
      <alignment horizontal="center"/>
    </xf>
    <xf numFmtId="166" fontId="4" fillId="2" borderId="1" xfId="3" applyNumberFormat="1" applyFont="1" applyFill="1" applyBorder="1" applyAlignment="1">
      <alignment horizontal="center"/>
    </xf>
    <xf numFmtId="0" fontId="7" fillId="2" borderId="1" xfId="2" applyFont="1" applyFill="1" applyBorder="1" applyAlignment="1">
      <alignment horizontal="left" vertical="center" wrapText="1"/>
    </xf>
    <xf numFmtId="168" fontId="5" fillId="2" borderId="1" xfId="3" applyNumberFormat="1" applyFont="1" applyFill="1" applyBorder="1" applyAlignment="1">
      <alignment horizontal="center"/>
    </xf>
    <xf numFmtId="168" fontId="5" fillId="2" borderId="1" xfId="3" applyNumberFormat="1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/>
    </xf>
    <xf numFmtId="2" fontId="5" fillId="3" borderId="1" xfId="3" applyNumberFormat="1" applyFont="1" applyFill="1" applyBorder="1" applyAlignment="1">
      <alignment horizontal="center" vertical="center"/>
    </xf>
    <xf numFmtId="4" fontId="5" fillId="0" borderId="1" xfId="3" applyNumberFormat="1" applyFont="1" applyBorder="1" applyAlignment="1">
      <alignment horizontal="center" vertical="center"/>
    </xf>
    <xf numFmtId="0" fontId="5" fillId="2" borderId="1" xfId="3" applyFont="1" applyFill="1" applyBorder="1" applyAlignment="1">
      <alignment vertical="center"/>
    </xf>
    <xf numFmtId="0" fontId="4" fillId="2" borderId="1" xfId="3" applyFont="1" applyFill="1" applyBorder="1" applyAlignment="1">
      <alignment vertical="center"/>
    </xf>
    <xf numFmtId="0" fontId="4" fillId="2" borderId="2" xfId="3" applyFont="1" applyFill="1" applyBorder="1" applyAlignment="1">
      <alignment horizontal="center"/>
    </xf>
    <xf numFmtId="0" fontId="4" fillId="2" borderId="2" xfId="3" applyFont="1" applyFill="1" applyBorder="1"/>
    <xf numFmtId="0" fontId="5" fillId="2" borderId="8" xfId="3" applyFont="1" applyFill="1" applyBorder="1" applyAlignment="1">
      <alignment horizontal="left" wrapText="1"/>
    </xf>
    <xf numFmtId="0" fontId="5" fillId="2" borderId="8" xfId="3" applyFont="1" applyFill="1" applyBorder="1" applyAlignment="1">
      <alignment wrapText="1"/>
    </xf>
    <xf numFmtId="0" fontId="5" fillId="2" borderId="9" xfId="3" applyFont="1" applyFill="1" applyBorder="1" applyAlignment="1">
      <alignment horizontal="center" wrapText="1"/>
    </xf>
    <xf numFmtId="0" fontId="5" fillId="2" borderId="10" xfId="3" applyFont="1" applyFill="1" applyBorder="1" applyAlignment="1">
      <alignment horizontal="center" wrapText="1"/>
    </xf>
    <xf numFmtId="0" fontId="5" fillId="2" borderId="11" xfId="3" applyFont="1" applyFill="1" applyBorder="1" applyAlignment="1">
      <alignment horizontal="center" wrapText="1"/>
    </xf>
    <xf numFmtId="0" fontId="4" fillId="2" borderId="12" xfId="3" applyFont="1" applyFill="1" applyBorder="1" applyAlignment="1">
      <alignment horizontal="center" wrapText="1"/>
    </xf>
    <xf numFmtId="0" fontId="4" fillId="2" borderId="8" xfId="3" applyFont="1" applyFill="1" applyBorder="1" applyAlignment="1">
      <alignment horizontal="center" wrapText="1"/>
    </xf>
    <xf numFmtId="0" fontId="5" fillId="2" borderId="12" xfId="3" applyFont="1" applyFill="1" applyBorder="1" applyAlignment="1">
      <alignment horizontal="center" wrapText="1"/>
    </xf>
    <xf numFmtId="0" fontId="5" fillId="2" borderId="17" xfId="3" applyFont="1" applyFill="1" applyBorder="1" applyAlignment="1">
      <alignment horizontal="left" wrapText="1"/>
    </xf>
    <xf numFmtId="0" fontId="5" fillId="2" borderId="18" xfId="3" applyFont="1" applyFill="1" applyBorder="1" applyAlignment="1">
      <alignment wrapText="1"/>
    </xf>
    <xf numFmtId="0" fontId="5" fillId="2" borderId="19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0" fontId="5" fillId="2" borderId="21" xfId="3" applyFont="1" applyFill="1" applyBorder="1" applyAlignment="1">
      <alignment horizontal="center" vertical="center" wrapText="1"/>
    </xf>
    <xf numFmtId="0" fontId="5" fillId="2" borderId="22" xfId="3" applyFont="1" applyFill="1" applyBorder="1" applyAlignment="1">
      <alignment horizontal="center" wrapText="1"/>
    </xf>
    <xf numFmtId="0" fontId="5" fillId="2" borderId="23" xfId="3" applyFont="1" applyFill="1" applyBorder="1" applyAlignment="1">
      <alignment horizontal="center" wrapText="1"/>
    </xf>
    <xf numFmtId="0" fontId="4" fillId="2" borderId="24" xfId="3" applyFont="1" applyFill="1" applyBorder="1" applyAlignment="1">
      <alignment horizontal="center" wrapText="1"/>
    </xf>
    <xf numFmtId="0" fontId="5" fillId="2" borderId="23" xfId="3" applyFont="1" applyFill="1" applyBorder="1" applyAlignment="1">
      <alignment horizontal="center" vertical="center" wrapText="1"/>
    </xf>
    <xf numFmtId="0" fontId="4" fillId="2" borderId="25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wrapText="1"/>
    </xf>
    <xf numFmtId="0" fontId="5" fillId="2" borderId="19" xfId="3" applyFont="1" applyFill="1" applyBorder="1" applyAlignment="1">
      <alignment horizontal="center" wrapText="1"/>
    </xf>
    <xf numFmtId="0" fontId="4" fillId="2" borderId="25" xfId="3" applyFont="1" applyFill="1" applyBorder="1" applyAlignment="1">
      <alignment horizontal="center" wrapText="1"/>
    </xf>
    <xf numFmtId="0" fontId="4" fillId="2" borderId="17" xfId="3" applyFont="1" applyFill="1" applyBorder="1" applyAlignment="1">
      <alignment horizontal="center" wrapText="1"/>
    </xf>
    <xf numFmtId="0" fontId="4" fillId="2" borderId="26" xfId="3" applyFont="1" applyFill="1" applyBorder="1" applyAlignment="1">
      <alignment horizontal="left"/>
    </xf>
    <xf numFmtId="0" fontId="4" fillId="2" borderId="13" xfId="3" applyFont="1" applyFill="1" applyBorder="1"/>
    <xf numFmtId="2" fontId="4" fillId="2" borderId="27" xfId="3" applyNumberFormat="1" applyFont="1" applyFill="1" applyBorder="1" applyAlignment="1">
      <alignment horizontal="center"/>
    </xf>
    <xf numFmtId="2" fontId="4" fillId="2" borderId="28" xfId="3" applyNumberFormat="1" applyFont="1" applyFill="1" applyBorder="1" applyAlignment="1">
      <alignment horizontal="center"/>
    </xf>
    <xf numFmtId="2" fontId="4" fillId="2" borderId="15" xfId="3" applyNumberFormat="1" applyFont="1" applyFill="1" applyBorder="1" applyAlignment="1">
      <alignment horizontal="center"/>
    </xf>
    <xf numFmtId="2" fontId="4" fillId="2" borderId="16" xfId="3" applyNumberFormat="1" applyFont="1" applyFill="1" applyBorder="1" applyAlignment="1">
      <alignment horizontal="center"/>
    </xf>
    <xf numFmtId="2" fontId="4" fillId="2" borderId="14" xfId="3" applyNumberFormat="1" applyFont="1" applyFill="1" applyBorder="1" applyAlignment="1">
      <alignment horizontal="center" wrapText="1"/>
    </xf>
    <xf numFmtId="2" fontId="4" fillId="2" borderId="29" xfId="3" applyNumberFormat="1" applyFont="1" applyFill="1" applyBorder="1" applyAlignment="1">
      <alignment horizontal="center" wrapText="1"/>
    </xf>
    <xf numFmtId="2" fontId="4" fillId="2" borderId="13" xfId="3" applyNumberFormat="1" applyFont="1" applyFill="1" applyBorder="1" applyAlignment="1">
      <alignment horizontal="center"/>
    </xf>
    <xf numFmtId="2" fontId="4" fillId="2" borderId="26" xfId="3" applyNumberFormat="1" applyFont="1" applyFill="1" applyBorder="1" applyAlignment="1">
      <alignment horizontal="center" wrapText="1"/>
    </xf>
    <xf numFmtId="0" fontId="5" fillId="2" borderId="26" xfId="3" applyFont="1" applyFill="1" applyBorder="1" applyAlignment="1">
      <alignment horizontal="left"/>
    </xf>
    <xf numFmtId="0" fontId="5" fillId="2" borderId="13" xfId="3" applyFont="1" applyFill="1" applyBorder="1" applyAlignment="1">
      <alignment horizontal="center" vertical="center"/>
    </xf>
    <xf numFmtId="4" fontId="5" fillId="2" borderId="27" xfId="3" applyNumberFormat="1" applyFont="1" applyFill="1" applyBorder="1" applyAlignment="1">
      <alignment horizontal="center"/>
    </xf>
    <xf numFmtId="4" fontId="5" fillId="2" borderId="28" xfId="3" applyNumberFormat="1" applyFont="1" applyFill="1" applyBorder="1" applyAlignment="1">
      <alignment horizontal="center"/>
    </xf>
    <xf numFmtId="4" fontId="5" fillId="2" borderId="15" xfId="3" applyNumberFormat="1" applyFont="1" applyFill="1" applyBorder="1" applyAlignment="1">
      <alignment horizontal="center"/>
    </xf>
    <xf numFmtId="4" fontId="5" fillId="2" borderId="16" xfId="3" applyNumberFormat="1" applyFont="1" applyFill="1" applyBorder="1" applyAlignment="1">
      <alignment horizontal="center"/>
    </xf>
    <xf numFmtId="4" fontId="4" fillId="2" borderId="14" xfId="3" applyNumberFormat="1" applyFont="1" applyFill="1" applyBorder="1" applyAlignment="1">
      <alignment horizontal="center"/>
    </xf>
    <xf numFmtId="4" fontId="4" fillId="2" borderId="29" xfId="3" applyNumberFormat="1" applyFont="1" applyFill="1" applyBorder="1" applyAlignment="1">
      <alignment horizontal="center"/>
    </xf>
    <xf numFmtId="4" fontId="4" fillId="2" borderId="13" xfId="3" applyNumberFormat="1" applyFont="1" applyFill="1" applyBorder="1" applyAlignment="1">
      <alignment horizontal="center"/>
    </xf>
    <xf numFmtId="0" fontId="5" fillId="2" borderId="26" xfId="3" applyFont="1" applyFill="1" applyBorder="1" applyAlignment="1">
      <alignment horizontal="left" wrapText="1"/>
    </xf>
    <xf numFmtId="0" fontId="5" fillId="2" borderId="27" xfId="3" applyFont="1" applyFill="1" applyBorder="1" applyAlignment="1">
      <alignment horizontal="center" vertical="center"/>
    </xf>
    <xf numFmtId="0" fontId="5" fillId="2" borderId="28" xfId="3" applyFont="1" applyFill="1" applyBorder="1" applyAlignment="1">
      <alignment horizontal="center" vertical="center"/>
    </xf>
    <xf numFmtId="0" fontId="5" fillId="2" borderId="15" xfId="3" applyFont="1" applyFill="1" applyBorder="1" applyAlignment="1">
      <alignment horizontal="center" vertical="center"/>
    </xf>
    <xf numFmtId="0" fontId="5" fillId="2" borderId="16" xfId="3" applyFont="1" applyFill="1" applyBorder="1" applyAlignment="1">
      <alignment horizontal="center" vertical="center"/>
    </xf>
    <xf numFmtId="0" fontId="4" fillId="2" borderId="14" xfId="3" applyFont="1" applyFill="1" applyBorder="1" applyAlignment="1">
      <alignment horizontal="center" vertical="center"/>
    </xf>
    <xf numFmtId="0" fontId="4" fillId="2" borderId="29" xfId="3" applyFont="1" applyFill="1" applyBorder="1" applyAlignment="1">
      <alignment horizontal="center" vertical="center"/>
    </xf>
    <xf numFmtId="0" fontId="4" fillId="2" borderId="13" xfId="3" applyFont="1" applyFill="1" applyBorder="1" applyAlignment="1">
      <alignment horizontal="center" vertical="center"/>
    </xf>
    <xf numFmtId="0" fontId="4" fillId="2" borderId="26" xfId="3" applyFont="1" applyFill="1" applyBorder="1" applyAlignment="1">
      <alignment horizontal="center" vertical="center"/>
    </xf>
    <xf numFmtId="0" fontId="5" fillId="2" borderId="15" xfId="3" applyFont="1" applyFill="1" applyBorder="1" applyAlignment="1">
      <alignment horizontal="center"/>
    </xf>
    <xf numFmtId="0" fontId="5" fillId="2" borderId="16" xfId="3" applyFont="1" applyFill="1" applyBorder="1" applyAlignment="1">
      <alignment horizontal="center"/>
    </xf>
    <xf numFmtId="0" fontId="5" fillId="2" borderId="14" xfId="3" applyFont="1" applyFill="1" applyBorder="1" applyAlignment="1">
      <alignment horizontal="center"/>
    </xf>
    <xf numFmtId="0" fontId="5" fillId="2" borderId="13" xfId="3" applyFont="1" applyFill="1" applyBorder="1" applyAlignment="1">
      <alignment horizontal="center"/>
    </xf>
    <xf numFmtId="0" fontId="5" fillId="2" borderId="27" xfId="3" applyFont="1" applyFill="1" applyBorder="1" applyAlignment="1">
      <alignment horizontal="center"/>
    </xf>
    <xf numFmtId="0" fontId="5" fillId="2" borderId="26" xfId="3" applyFont="1" applyFill="1" applyBorder="1" applyAlignment="1">
      <alignment horizontal="center"/>
    </xf>
    <xf numFmtId="2" fontId="5" fillId="2" borderId="27" xfId="3" applyNumberFormat="1" applyFont="1" applyFill="1" applyBorder="1" applyAlignment="1">
      <alignment horizontal="center"/>
    </xf>
    <xf numFmtId="2" fontId="5" fillId="2" borderId="28" xfId="3" applyNumberFormat="1" applyFont="1" applyFill="1" applyBorder="1" applyAlignment="1">
      <alignment horizontal="center"/>
    </xf>
    <xf numFmtId="4" fontId="4" fillId="2" borderId="17" xfId="3" applyNumberFormat="1" applyFont="1" applyFill="1" applyBorder="1" applyAlignment="1">
      <alignment horizontal="center" vertical="center"/>
    </xf>
    <xf numFmtId="2" fontId="5" fillId="2" borderId="15" xfId="3" applyNumberFormat="1" applyFont="1" applyFill="1" applyBorder="1" applyAlignment="1">
      <alignment horizontal="center"/>
    </xf>
    <xf numFmtId="2" fontId="5" fillId="2" borderId="16" xfId="3" applyNumberFormat="1" applyFont="1" applyFill="1" applyBorder="1" applyAlignment="1">
      <alignment horizontal="center"/>
    </xf>
    <xf numFmtId="0" fontId="4" fillId="2" borderId="26" xfId="3" applyFont="1" applyFill="1" applyBorder="1" applyAlignment="1">
      <alignment horizontal="left" vertical="center" wrapText="1"/>
    </xf>
    <xf numFmtId="2" fontId="4" fillId="2" borderId="27" xfId="3" applyNumberFormat="1" applyFont="1" applyFill="1" applyBorder="1" applyAlignment="1">
      <alignment horizontal="center" vertical="center"/>
    </xf>
    <xf numFmtId="2" fontId="4" fillId="2" borderId="28" xfId="3" applyNumberFormat="1" applyFont="1" applyFill="1" applyBorder="1" applyAlignment="1">
      <alignment horizontal="center" vertical="center"/>
    </xf>
    <xf numFmtId="2" fontId="4" fillId="2" borderId="15" xfId="3" applyNumberFormat="1" applyFont="1" applyFill="1" applyBorder="1" applyAlignment="1">
      <alignment horizontal="center" vertical="center"/>
    </xf>
    <xf numFmtId="2" fontId="4" fillId="2" borderId="16" xfId="3" applyNumberFormat="1" applyFont="1" applyFill="1" applyBorder="1" applyAlignment="1">
      <alignment horizontal="center" vertical="center"/>
    </xf>
    <xf numFmtId="2" fontId="4" fillId="2" borderId="14" xfId="3" applyNumberFormat="1" applyFont="1" applyFill="1" applyBorder="1" applyAlignment="1">
      <alignment horizontal="center" vertical="center" wrapText="1"/>
    </xf>
    <xf numFmtId="2" fontId="4" fillId="2" borderId="29" xfId="3" applyNumberFormat="1" applyFont="1" applyFill="1" applyBorder="1" applyAlignment="1">
      <alignment horizontal="center" vertical="center" wrapText="1"/>
    </xf>
    <xf numFmtId="2" fontId="4" fillId="2" borderId="13" xfId="3" applyNumberFormat="1" applyFont="1" applyFill="1" applyBorder="1" applyAlignment="1">
      <alignment horizontal="center" vertical="center"/>
    </xf>
    <xf numFmtId="2" fontId="4" fillId="2" borderId="26" xfId="3" applyNumberFormat="1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/>
    </xf>
    <xf numFmtId="0" fontId="5" fillId="2" borderId="30" xfId="3" applyFont="1" applyFill="1" applyBorder="1" applyAlignment="1">
      <alignment horizontal="left"/>
    </xf>
    <xf numFmtId="0" fontId="5" fillId="2" borderId="31" xfId="3" applyFont="1" applyFill="1" applyBorder="1" applyAlignment="1">
      <alignment horizontal="center" vertical="center"/>
    </xf>
    <xf numFmtId="2" fontId="5" fillId="2" borderId="32" xfId="3" applyNumberFormat="1" applyFont="1" applyFill="1" applyBorder="1" applyAlignment="1">
      <alignment horizontal="center"/>
    </xf>
    <xf numFmtId="2" fontId="5" fillId="2" borderId="33" xfId="3" applyNumberFormat="1" applyFont="1" applyFill="1" applyBorder="1" applyAlignment="1">
      <alignment horizontal="center"/>
    </xf>
    <xf numFmtId="2" fontId="5" fillId="2" borderId="34" xfId="3" applyNumberFormat="1" applyFont="1" applyFill="1" applyBorder="1" applyAlignment="1">
      <alignment horizontal="center"/>
    </xf>
    <xf numFmtId="2" fontId="5" fillId="2" borderId="35" xfId="3" applyNumberFormat="1" applyFont="1" applyFill="1" applyBorder="1" applyAlignment="1">
      <alignment horizontal="center"/>
    </xf>
    <xf numFmtId="2" fontId="5" fillId="2" borderId="36" xfId="3" applyNumberFormat="1" applyFont="1" applyFill="1" applyBorder="1" applyAlignment="1">
      <alignment horizontal="center"/>
    </xf>
    <xf numFmtId="2" fontId="4" fillId="2" borderId="37" xfId="3" applyNumberFormat="1" applyFont="1" applyFill="1" applyBorder="1" applyAlignment="1">
      <alignment horizontal="center" wrapText="1"/>
    </xf>
    <xf numFmtId="2" fontId="4" fillId="2" borderId="38" xfId="3" applyNumberFormat="1" applyFont="1" applyFill="1" applyBorder="1" applyAlignment="1">
      <alignment horizontal="center" wrapText="1"/>
    </xf>
    <xf numFmtId="2" fontId="4" fillId="2" borderId="31" xfId="3" applyNumberFormat="1" applyFont="1" applyFill="1" applyBorder="1" applyAlignment="1">
      <alignment horizontal="center"/>
    </xf>
    <xf numFmtId="2" fontId="4" fillId="2" borderId="30" xfId="3" applyNumberFormat="1" applyFont="1" applyFill="1" applyBorder="1" applyAlignment="1">
      <alignment horizontal="center" wrapText="1"/>
    </xf>
    <xf numFmtId="0" fontId="4" fillId="2" borderId="39" xfId="3" applyFont="1" applyFill="1" applyBorder="1" applyAlignment="1">
      <alignment horizontal="left" wrapText="1"/>
    </xf>
    <xf numFmtId="0" fontId="4" fillId="2" borderId="39" xfId="3" applyFont="1" applyFill="1" applyBorder="1" applyAlignment="1">
      <alignment horizontal="center" vertical="center"/>
    </xf>
    <xf numFmtId="2" fontId="4" fillId="2" borderId="40" xfId="3" applyNumberFormat="1" applyFont="1" applyFill="1" applyBorder="1" applyAlignment="1">
      <alignment horizontal="center" vertical="center"/>
    </xf>
    <xf numFmtId="2" fontId="4" fillId="2" borderId="40" xfId="3" applyNumberFormat="1" applyFont="1" applyFill="1" applyBorder="1" applyAlignment="1">
      <alignment horizontal="center"/>
    </xf>
    <xf numFmtId="2" fontId="4" fillId="2" borderId="41" xfId="3" applyNumberFormat="1" applyFont="1" applyFill="1" applyBorder="1" applyAlignment="1">
      <alignment horizontal="center"/>
    </xf>
    <xf numFmtId="2" fontId="4" fillId="2" borderId="39" xfId="3" applyNumberFormat="1" applyFont="1" applyFill="1" applyBorder="1" applyAlignment="1">
      <alignment horizontal="center" wrapText="1"/>
    </xf>
    <xf numFmtId="2" fontId="4" fillId="2" borderId="42" xfId="3" applyNumberFormat="1" applyFont="1" applyFill="1" applyBorder="1" applyAlignment="1">
      <alignment horizontal="center"/>
    </xf>
    <xf numFmtId="2" fontId="4" fillId="2" borderId="43" xfId="3" applyNumberFormat="1" applyFont="1" applyFill="1" applyBorder="1" applyAlignment="1">
      <alignment horizontal="center"/>
    </xf>
    <xf numFmtId="2" fontId="4" fillId="2" borderId="39" xfId="3" applyNumberFormat="1" applyFont="1" applyFill="1" applyBorder="1" applyAlignment="1">
      <alignment horizontal="center"/>
    </xf>
    <xf numFmtId="0" fontId="4" fillId="2" borderId="2" xfId="3" applyFont="1" applyFill="1" applyBorder="1" applyAlignment="1">
      <alignment horizontal="left" wrapText="1"/>
    </xf>
    <xf numFmtId="0" fontId="4" fillId="2" borderId="6" xfId="3" applyFont="1" applyFill="1" applyBorder="1" applyAlignment="1">
      <alignment horizontal="center" vertical="center"/>
    </xf>
    <xf numFmtId="2" fontId="4" fillId="2" borderId="47" xfId="3" applyNumberFormat="1" applyFont="1" applyFill="1" applyBorder="1" applyAlignment="1">
      <alignment horizontal="center"/>
    </xf>
    <xf numFmtId="2" fontId="4" fillId="2" borderId="48" xfId="3" applyNumberFormat="1" applyFont="1" applyFill="1" applyBorder="1" applyAlignment="1">
      <alignment horizontal="center"/>
    </xf>
    <xf numFmtId="2" fontId="4" fillId="2" borderId="49" xfId="3" applyNumberFormat="1" applyFont="1" applyFill="1" applyBorder="1" applyAlignment="1">
      <alignment horizontal="center"/>
    </xf>
    <xf numFmtId="2" fontId="4" fillId="2" borderId="50" xfId="3" applyNumberFormat="1" applyFont="1" applyFill="1" applyBorder="1" applyAlignment="1">
      <alignment horizontal="center"/>
    </xf>
    <xf numFmtId="2" fontId="4" fillId="2" borderId="51" xfId="3" applyNumberFormat="1" applyFont="1" applyFill="1" applyBorder="1" applyAlignment="1">
      <alignment horizontal="center"/>
    </xf>
    <xf numFmtId="2" fontId="4" fillId="2" borderId="2" xfId="3" applyNumberFormat="1" applyFont="1" applyFill="1" applyBorder="1" applyAlignment="1">
      <alignment horizontal="center"/>
    </xf>
    <xf numFmtId="2" fontId="4" fillId="2" borderId="7" xfId="3" applyNumberFormat="1" applyFont="1" applyFill="1" applyBorder="1" applyAlignment="1">
      <alignment horizontal="center"/>
    </xf>
    <xf numFmtId="2" fontId="4" fillId="2" borderId="2" xfId="3" applyNumberFormat="1" applyFont="1" applyFill="1" applyBorder="1" applyAlignment="1">
      <alignment horizontal="center" wrapText="1"/>
    </xf>
    <xf numFmtId="4" fontId="4" fillId="2" borderId="26" xfId="3" applyNumberFormat="1" applyFont="1" applyFill="1" applyBorder="1" applyAlignment="1">
      <alignment horizontal="center" vertical="center"/>
    </xf>
    <xf numFmtId="0" fontId="5" fillId="2" borderId="14" xfId="3" applyFont="1" applyFill="1" applyBorder="1" applyAlignment="1">
      <alignment horizontal="center" vertical="center"/>
    </xf>
    <xf numFmtId="165" fontId="4" fillId="2" borderId="26" xfId="3" applyNumberFormat="1" applyFont="1" applyFill="1" applyBorder="1" applyAlignment="1">
      <alignment horizontal="center" vertical="center"/>
    </xf>
    <xf numFmtId="0" fontId="5" fillId="2" borderId="28" xfId="3" applyFont="1" applyFill="1" applyBorder="1" applyAlignment="1">
      <alignment horizontal="center"/>
    </xf>
    <xf numFmtId="0" fontId="4" fillId="2" borderId="26" xfId="3" applyFont="1" applyFill="1" applyBorder="1" applyAlignment="1">
      <alignment horizontal="center"/>
    </xf>
    <xf numFmtId="0" fontId="4" fillId="2" borderId="14" xfId="3" applyFont="1" applyFill="1" applyBorder="1" applyAlignment="1">
      <alignment horizontal="center"/>
    </xf>
    <xf numFmtId="2" fontId="4" fillId="2" borderId="26" xfId="3" applyNumberFormat="1" applyFont="1" applyFill="1" applyBorder="1" applyAlignment="1">
      <alignment horizontal="center"/>
    </xf>
    <xf numFmtId="2" fontId="5" fillId="2" borderId="14" xfId="3" applyNumberFormat="1" applyFont="1" applyFill="1" applyBorder="1" applyAlignment="1">
      <alignment horizontal="center"/>
    </xf>
    <xf numFmtId="2" fontId="4" fillId="2" borderId="14" xfId="3" applyNumberFormat="1" applyFont="1" applyFill="1" applyBorder="1" applyAlignment="1">
      <alignment horizontal="center"/>
    </xf>
    <xf numFmtId="0" fontId="5" fillId="2" borderId="26" xfId="3" applyFont="1" applyFill="1" applyBorder="1" applyAlignment="1">
      <alignment horizontal="left" vertical="center" wrapText="1"/>
    </xf>
    <xf numFmtId="166" fontId="5" fillId="2" borderId="27" xfId="3" applyNumberFormat="1" applyFont="1" applyFill="1" applyBorder="1" applyAlignment="1">
      <alignment horizontal="center" vertical="center"/>
    </xf>
    <xf numFmtId="166" fontId="5" fillId="2" borderId="16" xfId="3" applyNumberFormat="1" applyFont="1" applyFill="1" applyBorder="1" applyAlignment="1">
      <alignment horizontal="center" vertical="center"/>
    </xf>
    <xf numFmtId="167" fontId="4" fillId="2" borderId="26" xfId="3" applyNumberFormat="1" applyFont="1" applyFill="1" applyBorder="1" applyAlignment="1">
      <alignment horizontal="center" vertical="center"/>
    </xf>
    <xf numFmtId="166" fontId="5" fillId="2" borderId="15" xfId="3" applyNumberFormat="1" applyFont="1" applyFill="1" applyBorder="1" applyAlignment="1">
      <alignment horizontal="center" vertical="center"/>
    </xf>
    <xf numFmtId="166" fontId="5" fillId="2" borderId="28" xfId="3" applyNumberFormat="1" applyFont="1" applyFill="1" applyBorder="1" applyAlignment="1">
      <alignment horizontal="center" vertical="center"/>
    </xf>
    <xf numFmtId="166" fontId="4" fillId="2" borderId="26" xfId="3" applyNumberFormat="1" applyFont="1" applyFill="1" applyBorder="1" applyAlignment="1">
      <alignment horizontal="center" vertical="center"/>
    </xf>
    <xf numFmtId="166" fontId="5" fillId="2" borderId="14" xfId="3" applyNumberFormat="1" applyFont="1" applyFill="1" applyBorder="1" applyAlignment="1">
      <alignment horizontal="center" vertical="center"/>
    </xf>
    <xf numFmtId="166" fontId="4" fillId="2" borderId="14" xfId="3" applyNumberFormat="1" applyFont="1" applyFill="1" applyBorder="1" applyAlignment="1">
      <alignment horizontal="center" vertical="center"/>
    </xf>
    <xf numFmtId="166" fontId="5" fillId="2" borderId="15" xfId="3" applyNumberFormat="1" applyFont="1" applyFill="1" applyBorder="1" applyAlignment="1">
      <alignment horizontal="center"/>
    </xf>
    <xf numFmtId="166" fontId="5" fillId="2" borderId="28" xfId="3" applyNumberFormat="1" applyFont="1" applyFill="1" applyBorder="1" applyAlignment="1">
      <alignment horizontal="center"/>
    </xf>
    <xf numFmtId="166" fontId="4" fillId="2" borderId="26" xfId="3" applyNumberFormat="1" applyFont="1" applyFill="1" applyBorder="1" applyAlignment="1">
      <alignment horizontal="center"/>
    </xf>
    <xf numFmtId="166" fontId="5" fillId="2" borderId="14" xfId="3" applyNumberFormat="1" applyFont="1" applyFill="1" applyBorder="1" applyAlignment="1">
      <alignment horizontal="center"/>
    </xf>
    <xf numFmtId="166" fontId="4" fillId="2" borderId="14" xfId="3" applyNumberFormat="1" applyFont="1" applyFill="1" applyBorder="1" applyAlignment="1">
      <alignment horizontal="center"/>
    </xf>
    <xf numFmtId="166" fontId="5" fillId="2" borderId="27" xfId="3" applyNumberFormat="1" applyFont="1" applyFill="1" applyBorder="1" applyAlignment="1">
      <alignment horizontal="center"/>
    </xf>
    <xf numFmtId="166" fontId="5" fillId="2" borderId="16" xfId="3" applyNumberFormat="1" applyFont="1" applyFill="1" applyBorder="1" applyAlignment="1">
      <alignment horizontal="center"/>
    </xf>
    <xf numFmtId="168" fontId="5" fillId="2" borderId="27" xfId="3" applyNumberFormat="1" applyFont="1" applyFill="1" applyBorder="1" applyAlignment="1">
      <alignment horizontal="center"/>
    </xf>
    <xf numFmtId="168" fontId="5" fillId="2" borderId="16" xfId="3" applyNumberFormat="1" applyFont="1" applyFill="1" applyBorder="1" applyAlignment="1">
      <alignment horizontal="center"/>
    </xf>
    <xf numFmtId="168" fontId="5" fillId="2" borderId="15" xfId="3" applyNumberFormat="1" applyFont="1" applyFill="1" applyBorder="1" applyAlignment="1">
      <alignment horizontal="center"/>
    </xf>
    <xf numFmtId="168" fontId="5" fillId="2" borderId="28" xfId="3" applyNumberFormat="1" applyFont="1" applyFill="1" applyBorder="1" applyAlignment="1">
      <alignment horizontal="center"/>
    </xf>
    <xf numFmtId="168" fontId="4" fillId="2" borderId="26" xfId="3" applyNumberFormat="1" applyFont="1" applyFill="1" applyBorder="1" applyAlignment="1">
      <alignment horizontal="center"/>
    </xf>
    <xf numFmtId="168" fontId="5" fillId="2" borderId="14" xfId="3" applyNumberFormat="1" applyFont="1" applyFill="1" applyBorder="1" applyAlignment="1">
      <alignment horizontal="center"/>
    </xf>
    <xf numFmtId="168" fontId="4" fillId="2" borderId="14" xfId="3" applyNumberFormat="1" applyFont="1" applyFill="1" applyBorder="1" applyAlignment="1">
      <alignment horizontal="center"/>
    </xf>
    <xf numFmtId="2" fontId="5" fillId="2" borderId="27" xfId="3" applyNumberFormat="1" applyFont="1" applyFill="1" applyBorder="1" applyAlignment="1">
      <alignment horizontal="center" vertical="center"/>
    </xf>
    <xf numFmtId="2" fontId="5" fillId="2" borderId="16" xfId="3" applyNumberFormat="1" applyFont="1" applyFill="1" applyBorder="1" applyAlignment="1">
      <alignment horizontal="center" vertical="center"/>
    </xf>
    <xf numFmtId="2" fontId="5" fillId="2" borderId="15" xfId="3" applyNumberFormat="1" applyFont="1" applyFill="1" applyBorder="1" applyAlignment="1">
      <alignment horizontal="center" vertical="center"/>
    </xf>
    <xf numFmtId="2" fontId="5" fillId="2" borderId="28" xfId="3" applyNumberFormat="1" applyFont="1" applyFill="1" applyBorder="1" applyAlignment="1">
      <alignment horizontal="center" vertical="center"/>
    </xf>
    <xf numFmtId="2" fontId="4" fillId="2" borderId="26" xfId="3" applyNumberFormat="1" applyFont="1" applyFill="1" applyBorder="1" applyAlignment="1">
      <alignment horizontal="center" vertical="center"/>
    </xf>
    <xf numFmtId="2" fontId="5" fillId="2" borderId="14" xfId="3" applyNumberFormat="1" applyFont="1" applyFill="1" applyBorder="1" applyAlignment="1">
      <alignment horizontal="center" vertical="center"/>
    </xf>
    <xf numFmtId="2" fontId="4" fillId="2" borderId="14" xfId="3" applyNumberFormat="1" applyFont="1" applyFill="1" applyBorder="1" applyAlignment="1">
      <alignment horizontal="center" vertical="center"/>
    </xf>
    <xf numFmtId="0" fontId="5" fillId="2" borderId="52" xfId="3" applyFont="1" applyFill="1" applyBorder="1" applyAlignment="1">
      <alignment horizontal="center" vertical="center"/>
    </xf>
    <xf numFmtId="2" fontId="5" fillId="3" borderId="32" xfId="3" applyNumberFormat="1" applyFont="1" applyFill="1" applyBorder="1" applyAlignment="1">
      <alignment horizontal="center" vertical="center"/>
    </xf>
    <xf numFmtId="4" fontId="5" fillId="0" borderId="32" xfId="3" applyNumberFormat="1" applyFont="1" applyBorder="1" applyAlignment="1">
      <alignment horizontal="center" vertical="center"/>
    </xf>
    <xf numFmtId="2" fontId="5" fillId="2" borderId="32" xfId="3" applyNumberFormat="1" applyFont="1" applyFill="1" applyBorder="1" applyAlignment="1">
      <alignment horizontal="center" vertical="center"/>
    </xf>
    <xf numFmtId="0" fontId="4" fillId="2" borderId="12" xfId="3" applyFont="1" applyFill="1" applyBorder="1" applyAlignment="1">
      <alignment horizontal="left"/>
    </xf>
    <xf numFmtId="0" fontId="4" fillId="2" borderId="12" xfId="3" applyFont="1" applyFill="1" applyBorder="1" applyAlignment="1">
      <alignment horizontal="center" vertical="center"/>
    </xf>
    <xf numFmtId="2" fontId="4" fillId="2" borderId="64" xfId="3" applyNumberFormat="1" applyFont="1" applyFill="1" applyBorder="1" applyAlignment="1">
      <alignment horizontal="center"/>
    </xf>
    <xf numFmtId="2" fontId="4" fillId="2" borderId="59" xfId="3" applyNumberFormat="1" applyFont="1" applyFill="1" applyBorder="1" applyAlignment="1">
      <alignment horizontal="center"/>
    </xf>
    <xf numFmtId="2" fontId="4" fillId="2" borderId="75" xfId="3" applyNumberFormat="1" applyFont="1" applyFill="1" applyBorder="1" applyAlignment="1">
      <alignment horizontal="center"/>
    </xf>
    <xf numFmtId="4" fontId="4" fillId="2" borderId="57" xfId="3" applyNumberFormat="1" applyFont="1" applyFill="1" applyBorder="1" applyAlignment="1">
      <alignment horizontal="center" vertical="center"/>
    </xf>
    <xf numFmtId="2" fontId="4" fillId="2" borderId="53" xfId="3" applyNumberFormat="1" applyFont="1" applyFill="1" applyBorder="1" applyAlignment="1">
      <alignment horizontal="center"/>
    </xf>
    <xf numFmtId="2" fontId="4" fillId="2" borderId="55" xfId="3" applyNumberFormat="1" applyFont="1" applyFill="1" applyBorder="1" applyAlignment="1">
      <alignment horizontal="center"/>
    </xf>
    <xf numFmtId="2" fontId="4" fillId="2" borderId="12" xfId="3" applyNumberFormat="1" applyFont="1" applyFill="1" applyBorder="1" applyAlignment="1">
      <alignment horizontal="center"/>
    </xf>
    <xf numFmtId="2" fontId="4" fillId="2" borderId="56" xfId="3" applyNumberFormat="1" applyFont="1" applyFill="1" applyBorder="1" applyAlignment="1">
      <alignment horizontal="center"/>
    </xf>
    <xf numFmtId="2" fontId="4" fillId="2" borderId="54" xfId="3" applyNumberFormat="1" applyFont="1" applyFill="1" applyBorder="1" applyAlignment="1">
      <alignment horizontal="center"/>
    </xf>
    <xf numFmtId="2" fontId="4" fillId="2" borderId="57" xfId="3" applyNumberFormat="1" applyFont="1" applyFill="1" applyBorder="1" applyAlignment="1">
      <alignment horizontal="center"/>
    </xf>
    <xf numFmtId="2" fontId="4" fillId="2" borderId="58" xfId="3" applyNumberFormat="1" applyFont="1" applyFill="1" applyBorder="1" applyAlignment="1">
      <alignment horizontal="center"/>
    </xf>
    <xf numFmtId="2" fontId="4" fillId="2" borderId="12" xfId="3" applyNumberFormat="1" applyFont="1" applyFill="1" applyBorder="1" applyAlignment="1">
      <alignment horizontal="center" wrapText="1"/>
    </xf>
    <xf numFmtId="0" fontId="5" fillId="2" borderId="6" xfId="3" applyFont="1" applyFill="1" applyBorder="1" applyAlignment="1">
      <alignment horizontal="left" vertical="center" wrapText="1"/>
    </xf>
    <xf numFmtId="0" fontId="5" fillId="2" borderId="2" xfId="3" applyFont="1" applyFill="1" applyBorder="1" applyAlignment="1">
      <alignment vertical="center"/>
    </xf>
    <xf numFmtId="0" fontId="5" fillId="2" borderId="50" xfId="3" applyFont="1" applyFill="1" applyBorder="1" applyAlignment="1">
      <alignment horizontal="center" vertical="center"/>
    </xf>
    <xf numFmtId="0" fontId="5" fillId="2" borderId="48" xfId="3" applyFont="1" applyFill="1" applyBorder="1" applyAlignment="1">
      <alignment horizontal="center" vertical="center"/>
    </xf>
    <xf numFmtId="0" fontId="5" fillId="2" borderId="51" xfId="3" applyFont="1" applyFill="1" applyBorder="1" applyAlignment="1">
      <alignment horizontal="center" vertical="center"/>
    </xf>
    <xf numFmtId="4" fontId="4" fillId="2" borderId="2" xfId="3" applyNumberFormat="1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5" fillId="2" borderId="47" xfId="3" applyFont="1" applyFill="1" applyBorder="1" applyAlignment="1">
      <alignment horizontal="center" vertical="center"/>
    </xf>
    <xf numFmtId="0" fontId="5" fillId="2" borderId="49" xfId="3" applyFont="1" applyFill="1" applyBorder="1" applyAlignment="1">
      <alignment horizontal="center" vertical="center"/>
    </xf>
    <xf numFmtId="0" fontId="4" fillId="2" borderId="13" xfId="3" applyFont="1" applyFill="1" applyBorder="1" applyAlignment="1">
      <alignment horizontal="left"/>
    </xf>
    <xf numFmtId="0" fontId="4" fillId="2" borderId="26" xfId="3" applyFont="1" applyFill="1" applyBorder="1"/>
    <xf numFmtId="0" fontId="5" fillId="2" borderId="13" xfId="3" applyFont="1" applyFill="1" applyBorder="1" applyAlignment="1">
      <alignment horizontal="left" vertical="center" wrapText="1"/>
    </xf>
    <xf numFmtId="0" fontId="5" fillId="2" borderId="26" xfId="3" applyFont="1" applyFill="1" applyBorder="1" applyAlignment="1">
      <alignment vertical="center"/>
    </xf>
    <xf numFmtId="2" fontId="5" fillId="3" borderId="15" xfId="3" applyNumberFormat="1" applyFont="1" applyFill="1" applyBorder="1" applyAlignment="1">
      <alignment horizontal="center" vertical="center"/>
    </xf>
    <xf numFmtId="2" fontId="5" fillId="2" borderId="29" xfId="3" applyNumberFormat="1" applyFont="1" applyFill="1" applyBorder="1" applyAlignment="1">
      <alignment horizontal="center" vertical="center"/>
    </xf>
    <xf numFmtId="0" fontId="4" fillId="2" borderId="31" xfId="3" applyFont="1" applyFill="1" applyBorder="1" applyAlignment="1">
      <alignment horizontal="left"/>
    </xf>
    <xf numFmtId="0" fontId="4" fillId="2" borderId="30" xfId="3" applyFont="1" applyFill="1" applyBorder="1"/>
    <xf numFmtId="2" fontId="4" fillId="2" borderId="35" xfId="3" applyNumberFormat="1" applyFont="1" applyFill="1" applyBorder="1" applyAlignment="1">
      <alignment horizontal="center"/>
    </xf>
    <xf numFmtId="2" fontId="4" fillId="2" borderId="33" xfId="3" applyNumberFormat="1" applyFont="1" applyFill="1" applyBorder="1" applyAlignment="1">
      <alignment horizontal="center"/>
    </xf>
    <xf numFmtId="2" fontId="4" fillId="2" borderId="34" xfId="3" applyNumberFormat="1" applyFont="1" applyFill="1" applyBorder="1" applyAlignment="1">
      <alignment horizontal="center"/>
    </xf>
    <xf numFmtId="4" fontId="4" fillId="2" borderId="62" xfId="3" applyNumberFormat="1" applyFont="1" applyFill="1" applyBorder="1" applyAlignment="1">
      <alignment horizontal="center" vertical="center"/>
    </xf>
    <xf numFmtId="2" fontId="4" fillId="2" borderId="30" xfId="3" applyNumberFormat="1" applyFont="1" applyFill="1" applyBorder="1" applyAlignment="1">
      <alignment horizontal="center"/>
    </xf>
    <xf numFmtId="2" fontId="4" fillId="2" borderId="72" xfId="3" applyNumberFormat="1" applyFont="1" applyFill="1" applyBorder="1" applyAlignment="1">
      <alignment horizontal="center"/>
    </xf>
    <xf numFmtId="2" fontId="4" fillId="2" borderId="9" xfId="3" applyNumberFormat="1" applyFont="1" applyFill="1" applyBorder="1" applyAlignment="1">
      <alignment horizontal="center"/>
    </xf>
    <xf numFmtId="2" fontId="4" fillId="2" borderId="67" xfId="3" applyNumberFormat="1" applyFont="1" applyFill="1" applyBorder="1" applyAlignment="1">
      <alignment horizontal="center"/>
    </xf>
    <xf numFmtId="2" fontId="4" fillId="2" borderId="8" xfId="3" applyNumberFormat="1" applyFont="1" applyFill="1" applyBorder="1" applyAlignment="1">
      <alignment horizontal="center" wrapText="1"/>
    </xf>
    <xf numFmtId="0" fontId="4" fillId="2" borderId="62" xfId="3" applyFont="1" applyFill="1" applyBorder="1" applyAlignment="1">
      <alignment horizontal="left"/>
    </xf>
    <xf numFmtId="0" fontId="4" fillId="2" borderId="76" xfId="3" applyFont="1" applyFill="1" applyBorder="1"/>
    <xf numFmtId="4" fontId="4" fillId="2" borderId="62" xfId="3" applyNumberFormat="1" applyFont="1" applyFill="1" applyBorder="1" applyAlignment="1">
      <alignment horizontal="center"/>
    </xf>
    <xf numFmtId="2" fontId="4" fillId="2" borderId="62" xfId="3" applyNumberFormat="1" applyFont="1" applyFill="1" applyBorder="1" applyAlignment="1">
      <alignment horizontal="center"/>
    </xf>
    <xf numFmtId="2" fontId="4" fillId="2" borderId="45" xfId="3" applyNumberFormat="1" applyFont="1" applyFill="1" applyBorder="1" applyAlignment="1">
      <alignment horizontal="center"/>
    </xf>
    <xf numFmtId="2" fontId="4" fillId="2" borderId="60" xfId="3" applyNumberFormat="1" applyFont="1" applyFill="1" applyBorder="1" applyAlignment="1">
      <alignment horizontal="center"/>
    </xf>
    <xf numFmtId="2" fontId="4" fillId="2" borderId="63" xfId="3" applyNumberFormat="1" applyFont="1" applyFill="1" applyBorder="1" applyAlignment="1">
      <alignment horizontal="center"/>
    </xf>
    <xf numFmtId="0" fontId="4" fillId="2" borderId="0" xfId="3" applyFont="1" applyFill="1" applyAlignment="1">
      <alignment horizontal="left"/>
    </xf>
    <xf numFmtId="0" fontId="7" fillId="0" borderId="0" xfId="3" applyFont="1"/>
    <xf numFmtId="2" fontId="7" fillId="0" borderId="0" xfId="3" applyNumberFormat="1" applyFont="1"/>
    <xf numFmtId="0" fontId="0" fillId="0" borderId="0" xfId="0" applyAlignment="1">
      <alignment horizontal="left"/>
    </xf>
    <xf numFmtId="0" fontId="14" fillId="0" borderId="0" xfId="0" applyFont="1" applyAlignment="1">
      <alignment horizontal="left" vertical="top" wrapText="1"/>
    </xf>
    <xf numFmtId="4" fontId="17" fillId="5" borderId="82" xfId="0" applyNumberFormat="1" applyFont="1" applyFill="1" applyBorder="1" applyAlignment="1">
      <alignment horizontal="right" vertical="top" wrapText="1"/>
    </xf>
    <xf numFmtId="0" fontId="15" fillId="5" borderId="82" xfId="0" applyFont="1" applyFill="1" applyBorder="1" applyAlignment="1">
      <alignment horizontal="right" vertical="top" wrapText="1"/>
    </xf>
    <xf numFmtId="4" fontId="15" fillId="5" borderId="82" xfId="0" applyNumberFormat="1" applyFont="1" applyFill="1" applyBorder="1" applyAlignment="1">
      <alignment horizontal="right" vertical="top" wrapText="1"/>
    </xf>
    <xf numFmtId="0" fontId="15" fillId="5" borderId="83" xfId="0" applyFont="1" applyFill="1" applyBorder="1" applyAlignment="1">
      <alignment horizontal="right" vertical="top" wrapText="1"/>
    </xf>
    <xf numFmtId="0" fontId="15" fillId="5" borderId="84" xfId="0" applyFont="1" applyFill="1" applyBorder="1" applyAlignment="1">
      <alignment horizontal="right" vertical="top" wrapText="1"/>
    </xf>
    <xf numFmtId="4" fontId="19" fillId="6" borderId="82" xfId="0" applyNumberFormat="1" applyFont="1" applyFill="1" applyBorder="1" applyAlignment="1">
      <alignment horizontal="right" vertical="top" wrapText="1"/>
    </xf>
    <xf numFmtId="0" fontId="18" fillId="6" borderId="82" xfId="0" applyFont="1" applyFill="1" applyBorder="1" applyAlignment="1">
      <alignment horizontal="right" vertical="top" wrapText="1"/>
    </xf>
    <xf numFmtId="4" fontId="18" fillId="6" borderId="82" xfId="0" applyNumberFormat="1" applyFont="1" applyFill="1" applyBorder="1" applyAlignment="1">
      <alignment horizontal="right" vertical="top" wrapText="1"/>
    </xf>
    <xf numFmtId="0" fontId="18" fillId="6" borderId="83" xfId="0" applyFont="1" applyFill="1" applyBorder="1" applyAlignment="1">
      <alignment horizontal="right" vertical="top" wrapText="1"/>
    </xf>
    <xf numFmtId="0" fontId="18" fillId="6" borderId="84" xfId="0" applyFont="1" applyFill="1" applyBorder="1" applyAlignment="1">
      <alignment horizontal="right" vertical="top" wrapText="1"/>
    </xf>
    <xf numFmtId="0" fontId="18" fillId="0" borderId="82" xfId="0" applyFont="1" applyBorder="1" applyAlignment="1">
      <alignment horizontal="right" vertical="top" wrapText="1"/>
    </xf>
    <xf numFmtId="4" fontId="18" fillId="0" borderId="82" xfId="0" applyNumberFormat="1" applyFont="1" applyBorder="1" applyAlignment="1">
      <alignment horizontal="right" vertical="top" wrapText="1"/>
    </xf>
    <xf numFmtId="0" fontId="18" fillId="0" borderId="83" xfId="0" applyFont="1" applyBorder="1" applyAlignment="1">
      <alignment horizontal="right" vertical="top" wrapText="1"/>
    </xf>
    <xf numFmtId="0" fontId="18" fillId="0" borderId="84" xfId="0" applyFont="1" applyBorder="1" applyAlignment="1">
      <alignment horizontal="right" vertical="top" wrapText="1"/>
    </xf>
    <xf numFmtId="2" fontId="18" fillId="0" borderId="82" xfId="0" applyNumberFormat="1" applyFont="1" applyBorder="1" applyAlignment="1">
      <alignment horizontal="right" vertical="top" wrapText="1"/>
    </xf>
    <xf numFmtId="0" fontId="20" fillId="4" borderId="77" xfId="0" applyFont="1" applyFill="1" applyBorder="1" applyAlignment="1">
      <alignment horizontal="right" vertical="top" wrapText="1"/>
    </xf>
    <xf numFmtId="4" fontId="20" fillId="4" borderId="77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4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vertical="center"/>
    </xf>
    <xf numFmtId="0" fontId="4" fillId="0" borderId="28" xfId="0" applyFont="1" applyBorder="1" applyAlignment="1">
      <alignment horizontal="left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/>
    <xf numFmtId="0" fontId="5" fillId="0" borderId="0" xfId="0" applyFont="1" applyAlignment="1">
      <alignment wrapText="1"/>
    </xf>
    <xf numFmtId="4" fontId="5" fillId="0" borderId="39" xfId="0" applyNumberFormat="1" applyFont="1" applyBorder="1"/>
    <xf numFmtId="0" fontId="5" fillId="0" borderId="39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2" borderId="0" xfId="0" applyFont="1" applyFill="1"/>
    <xf numFmtId="0" fontId="21" fillId="7" borderId="47" xfId="0" applyFont="1" applyFill="1" applyBorder="1" applyAlignment="1">
      <alignment horizontal="center" vertical="center" textRotation="90" wrapText="1"/>
    </xf>
    <xf numFmtId="0" fontId="21" fillId="7" borderId="49" xfId="0" applyFont="1" applyFill="1" applyBorder="1" applyAlignment="1">
      <alignment horizontal="center" vertical="center" textRotation="90" wrapText="1"/>
    </xf>
    <xf numFmtId="0" fontId="21" fillId="8" borderId="47" xfId="0" applyFont="1" applyFill="1" applyBorder="1" applyAlignment="1">
      <alignment horizontal="center" vertical="center" textRotation="90" wrapText="1"/>
    </xf>
    <xf numFmtId="0" fontId="21" fillId="9" borderId="53" xfId="0" applyFont="1" applyFill="1" applyBorder="1" applyAlignment="1">
      <alignment horizontal="center" vertical="center" textRotation="90" wrapText="1"/>
    </xf>
    <xf numFmtId="0" fontId="21" fillId="9" borderId="85" xfId="0" applyFont="1" applyFill="1" applyBorder="1" applyAlignment="1">
      <alignment horizontal="center" vertical="center" textRotation="90" wrapText="1"/>
    </xf>
    <xf numFmtId="0" fontId="21" fillId="8" borderId="85" xfId="0" applyFont="1" applyFill="1" applyBorder="1" applyAlignment="1">
      <alignment horizontal="center" vertical="center" textRotation="90" wrapText="1"/>
    </xf>
    <xf numFmtId="0" fontId="21" fillId="9" borderId="39" xfId="0" applyFont="1" applyFill="1" applyBorder="1" applyAlignment="1">
      <alignment horizontal="center" vertical="center" textRotation="90" wrapText="1"/>
    </xf>
    <xf numFmtId="0" fontId="22" fillId="0" borderId="39" xfId="0" applyFont="1" applyBorder="1" applyAlignment="1">
      <alignment horizontal="center" vertical="center" wrapText="1"/>
    </xf>
    <xf numFmtId="4" fontId="7" fillId="0" borderId="30" xfId="0" applyNumberFormat="1" applyFont="1" applyBorder="1" applyAlignment="1">
      <alignment horizontal="center" vertical="center" wrapText="1"/>
    </xf>
    <xf numFmtId="171" fontId="7" fillId="0" borderId="39" xfId="16" applyNumberFormat="1" applyFont="1" applyBorder="1" applyAlignment="1">
      <alignment horizontal="center" vertical="center" wrapText="1"/>
    </xf>
    <xf numFmtId="4" fontId="5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horizontal="center" vertical="center"/>
    </xf>
    <xf numFmtId="4" fontId="7" fillId="2" borderId="39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7" fillId="0" borderId="3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2" borderId="44" xfId="1" applyFont="1" applyFill="1" applyBorder="1" applyAlignment="1">
      <alignment horizontal="center" wrapText="1"/>
    </xf>
    <xf numFmtId="0" fontId="4" fillId="2" borderId="45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46" xfId="1" applyFont="1" applyFill="1" applyBorder="1" applyAlignment="1">
      <alignment horizontal="center" wrapText="1"/>
    </xf>
    <xf numFmtId="0" fontId="4" fillId="2" borderId="64" xfId="1" applyFont="1" applyFill="1" applyBorder="1" applyAlignment="1">
      <alignment horizontal="center" vertical="center"/>
    </xf>
    <xf numFmtId="0" fontId="3" fillId="0" borderId="59" xfId="1" applyBorder="1" applyAlignment="1">
      <alignment horizontal="center" vertical="center"/>
    </xf>
    <xf numFmtId="0" fontId="3" fillId="0" borderId="65" xfId="1" applyBorder="1" applyAlignment="1">
      <alignment horizontal="center" vertical="center"/>
    </xf>
    <xf numFmtId="0" fontId="4" fillId="2" borderId="70" xfId="1" applyFont="1" applyFill="1" applyBorder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0" fontId="4" fillId="2" borderId="71" xfId="1" applyFont="1" applyFill="1" applyBorder="1" applyAlignment="1">
      <alignment horizontal="center" wrapText="1"/>
    </xf>
    <xf numFmtId="0" fontId="4" fillId="2" borderId="0" xfId="1" applyFont="1" applyFill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3" fillId="0" borderId="4" xfId="1" applyBorder="1" applyAlignment="1">
      <alignment horizontal="center"/>
    </xf>
    <xf numFmtId="0" fontId="3" fillId="0" borderId="5" xfId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3" fillId="0" borderId="14" xfId="1" applyBorder="1" applyAlignment="1">
      <alignment horizontal="center"/>
    </xf>
    <xf numFmtId="0" fontId="3" fillId="0" borderId="15" xfId="1" applyBorder="1" applyAlignment="1">
      <alignment horizontal="center"/>
    </xf>
    <xf numFmtId="0" fontId="4" fillId="2" borderId="1" xfId="3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 vertical="center"/>
    </xf>
    <xf numFmtId="0" fontId="3" fillId="0" borderId="1" xfId="3" applyBorder="1" applyAlignment="1">
      <alignment horizontal="center" vertical="center"/>
    </xf>
    <xf numFmtId="0" fontId="4" fillId="2" borderId="0" xfId="3" applyFont="1" applyFill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3" fillId="0" borderId="1" xfId="3" applyBorder="1" applyAlignment="1">
      <alignment horizontal="center"/>
    </xf>
    <xf numFmtId="0" fontId="4" fillId="2" borderId="69" xfId="3" applyFont="1" applyFill="1" applyBorder="1" applyAlignment="1">
      <alignment horizontal="center" wrapText="1"/>
    </xf>
    <xf numFmtId="0" fontId="4" fillId="2" borderId="45" xfId="3" applyFont="1" applyFill="1" applyBorder="1" applyAlignment="1">
      <alignment horizontal="center" wrapText="1"/>
    </xf>
    <xf numFmtId="0" fontId="4" fillId="2" borderId="4" xfId="3" applyFont="1" applyFill="1" applyBorder="1" applyAlignment="1">
      <alignment horizontal="center" wrapText="1"/>
    </xf>
    <xf numFmtId="0" fontId="4" fillId="2" borderId="68" xfId="3" applyFont="1" applyFill="1" applyBorder="1" applyAlignment="1">
      <alignment horizontal="center" wrapText="1"/>
    </xf>
    <xf numFmtId="0" fontId="4" fillId="2" borderId="44" xfId="3" applyFont="1" applyFill="1" applyBorder="1" applyAlignment="1">
      <alignment horizontal="center" wrapText="1"/>
    </xf>
    <xf numFmtId="0" fontId="4" fillId="2" borderId="46" xfId="3" applyFont="1" applyFill="1" applyBorder="1" applyAlignment="1">
      <alignment horizontal="center" wrapText="1"/>
    </xf>
    <xf numFmtId="0" fontId="4" fillId="2" borderId="3" xfId="3" applyFont="1" applyFill="1" applyBorder="1" applyAlignment="1">
      <alignment horizontal="center"/>
    </xf>
    <xf numFmtId="0" fontId="3" fillId="0" borderId="4" xfId="3" applyBorder="1" applyAlignment="1">
      <alignment horizontal="center"/>
    </xf>
    <xf numFmtId="0" fontId="3" fillId="0" borderId="5" xfId="3" applyBorder="1" applyAlignment="1">
      <alignment horizontal="center"/>
    </xf>
    <xf numFmtId="0" fontId="4" fillId="2" borderId="6" xfId="3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/>
    </xf>
    <xf numFmtId="0" fontId="4" fillId="2" borderId="5" xfId="3" applyFont="1" applyFill="1" applyBorder="1" applyAlignment="1">
      <alignment horizontal="center"/>
    </xf>
    <xf numFmtId="0" fontId="4" fillId="2" borderId="28" xfId="3" applyFont="1" applyFill="1" applyBorder="1" applyAlignment="1">
      <alignment horizontal="center"/>
    </xf>
    <xf numFmtId="0" fontId="3" fillId="0" borderId="14" xfId="3" applyBorder="1" applyAlignment="1">
      <alignment horizontal="center"/>
    </xf>
    <xf numFmtId="0" fontId="3" fillId="0" borderId="15" xfId="3" applyBorder="1" applyAlignment="1">
      <alignment horizontal="center"/>
    </xf>
    <xf numFmtId="0" fontId="18" fillId="0" borderId="82" xfId="0" applyFont="1" applyBorder="1" applyAlignment="1">
      <alignment horizontal="left" vertical="top" wrapText="1" indent="2"/>
    </xf>
    <xf numFmtId="0" fontId="20" fillId="4" borderId="77" xfId="0" applyFont="1" applyFill="1" applyBorder="1" applyAlignment="1">
      <alignment horizontal="left" vertical="top"/>
    </xf>
    <xf numFmtId="4" fontId="20" fillId="4" borderId="77" xfId="0" applyNumberFormat="1" applyFont="1" applyFill="1" applyBorder="1" applyAlignment="1">
      <alignment horizontal="right" vertical="top" wrapText="1"/>
    </xf>
    <xf numFmtId="0" fontId="18" fillId="6" borderId="82" xfId="0" applyFont="1" applyFill="1" applyBorder="1" applyAlignment="1">
      <alignment horizontal="left" vertical="top" wrapText="1" indent="1"/>
    </xf>
    <xf numFmtId="0" fontId="16" fillId="4" borderId="78" xfId="0" applyFont="1" applyFill="1" applyBorder="1" applyAlignment="1">
      <alignment horizontal="center" vertical="top"/>
    </xf>
    <xf numFmtId="0" fontId="16" fillId="4" borderId="80" xfId="0" applyFont="1" applyFill="1" applyBorder="1" applyAlignment="1">
      <alignment horizontal="center" vertical="top"/>
    </xf>
    <xf numFmtId="0" fontId="16" fillId="4" borderId="81" xfId="0" applyFont="1" applyFill="1" applyBorder="1" applyAlignment="1">
      <alignment horizontal="center" vertical="top"/>
    </xf>
    <xf numFmtId="0" fontId="15" fillId="4" borderId="77" xfId="0" applyFont="1" applyFill="1" applyBorder="1" applyAlignment="1">
      <alignment horizontal="left" vertical="top" wrapText="1"/>
    </xf>
    <xf numFmtId="0" fontId="15" fillId="5" borderId="82" xfId="0" applyFont="1" applyFill="1" applyBorder="1" applyAlignment="1">
      <alignment horizontal="left" vertical="top" wrapText="1"/>
    </xf>
    <xf numFmtId="0" fontId="16" fillId="4" borderId="79" xfId="0" applyFont="1" applyFill="1" applyBorder="1" applyAlignment="1">
      <alignment horizontal="center" vertical="top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6" fillId="4" borderId="77" xfId="0" applyFont="1" applyFill="1" applyBorder="1" applyAlignment="1">
      <alignment horizontal="center" vertical="top"/>
    </xf>
    <xf numFmtId="0" fontId="5" fillId="0" borderId="39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5" fillId="0" borderId="39" xfId="0" applyFont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5" fillId="2" borderId="45" xfId="0" applyFont="1" applyFill="1" applyBorder="1" applyAlignment="1">
      <alignment horizontal="center"/>
    </xf>
    <xf numFmtId="0" fontId="5" fillId="2" borderId="46" xfId="0" applyFont="1" applyFill="1" applyBorder="1" applyAlignment="1">
      <alignment horizontal="center"/>
    </xf>
    <xf numFmtId="0" fontId="21" fillId="3" borderId="12" xfId="0" applyFont="1" applyFill="1" applyBorder="1" applyAlignment="1">
      <alignment horizontal="center" vertical="center" textRotation="90" wrapText="1"/>
    </xf>
    <xf numFmtId="0" fontId="21" fillId="3" borderId="62" xfId="0" applyFont="1" applyFill="1" applyBorder="1" applyAlignment="1">
      <alignment horizontal="center" vertical="center" textRotation="90" wrapText="1"/>
    </xf>
  </cellXfs>
  <cellStyles count="17">
    <cellStyle name="Обычный" xfId="0" builtinId="0"/>
    <cellStyle name="Обычный 100" xfId="3" xr:uid="{00000000-0005-0000-0000-000001000000}"/>
    <cellStyle name="Обычный 12 2" xfId="4" xr:uid="{00000000-0005-0000-0000-000002000000}"/>
    <cellStyle name="Обычный 140 3" xfId="5" xr:uid="{00000000-0005-0000-0000-000003000000}"/>
    <cellStyle name="Обычный 2" xfId="1" xr:uid="{00000000-0005-0000-0000-000004000000}"/>
    <cellStyle name="Обычный 2 12" xfId="6" xr:uid="{00000000-0005-0000-0000-000005000000}"/>
    <cellStyle name="Обычный 25 2" xfId="7" xr:uid="{00000000-0005-0000-0000-000006000000}"/>
    <cellStyle name="Обычный 3" xfId="8" xr:uid="{00000000-0005-0000-0000-000007000000}"/>
    <cellStyle name="Обычный 3 2" xfId="9" xr:uid="{00000000-0005-0000-0000-000008000000}"/>
    <cellStyle name="Обычный 4" xfId="10" xr:uid="{00000000-0005-0000-0000-000009000000}"/>
    <cellStyle name="Обычный 4 2" xfId="14" xr:uid="{00000000-0005-0000-0000-00000A000000}"/>
    <cellStyle name="Обычный 5" xfId="15" xr:uid="{00000000-0005-0000-0000-00000B000000}"/>
    <cellStyle name="Обычный_Калькуляция транспортных расходов" xfId="2" xr:uid="{00000000-0005-0000-0000-00000C000000}"/>
    <cellStyle name="Процентный" xfId="16" builtinId="5"/>
    <cellStyle name="Процентный 10" xfId="11" xr:uid="{00000000-0005-0000-0000-00000E000000}"/>
    <cellStyle name="Процентный 2" xfId="12" xr:uid="{00000000-0005-0000-0000-00000F000000}"/>
    <cellStyle name="Финансовый 10 10 4" xfId="13" xr:uid="{00000000-0005-0000-0000-000010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AppData\Local\Microsoft\Windows\Temporary%20Internet%20Files\Content.IE5\S0928EGY\&#1055;&#1088;&#1086;&#1080;&#1079;&#1074;&#1086;&#1076;&#1089;&#1090;&#1074;&#1077;&#1085;&#1072;&#1103;%20&#1087;&#1088;&#1086;&#1075;&#1088;&#1072;&#1084;&#1084;&#1072;%2002.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6;&#1072;&#1089;&#1095;&#1077;&#1090;&#1099;%20&#1090;&#1072;&#1088;&#1080;&#1092;&#1072;%20760-&#1069;\&#1088;&#1072;&#1089;&#1095;&#1077;&#1090;%20&#1058;&#1069;,%20&#1058;&#1053;,%20&#1043;&#1042;&#1057;%20&#1087;.%20&#1052;&#1072;&#1084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82;&#1086;&#1085;&#1086;&#1084;&#1080;&#1089;&#1090;&#1099;/&#1058;&#1040;&#1056;&#1048;&#1060;/&#1055;&#1088;&#1086;&#1090;&#1086;&#1082;&#1086;&#1083;&#1099;/&#1055;&#1088;&#1086;&#1090;&#1086;&#1082;&#1086;&#1083;&#1099;%20&#1069;&#1082;&#1089;&#1077;&#1083;&#1100;/&#1055;&#1088;&#1086;&#1090;&#1086;&#1082;&#1086;&#1083;%20&#1054;&#1054;&#1054;%20&#1058;&#1077;&#1087;&#1083;&#1086;&#1056;&#1077;&#1089;&#1091;&#1088;&#1089;-&#1087;.%20&#1052;&#1072;&#1084;&#1072;-2021%20&#1075;&#1086;&#1076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6;&#1072;&#1089;&#1095;&#1077;&#1090;&#1099;%20&#1090;&#1072;&#1088;&#1080;&#1092;&#1072;%20760-&#1069;\&#1088;&#1072;&#1089;&#1095;&#1077;&#1090;%20&#1058;&#1069;,%20&#1058;&#1053;,%20&#1043;&#1042;&#1057;%20&#1087;.%20&#1074;&#1080;&#1090;&#1080;&#108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6;&#1072;&#1089;&#1095;&#1077;&#1090;&#1099;%20&#1090;&#1072;&#1088;&#1080;&#1092;&#1072;%20760-&#1069;\&#1088;&#1072;&#1089;&#1095;&#1077;&#1090;%20&#1058;&#1069;,%20&#1058;&#1053;,%20&#1043;&#1042;&#1057;%20&#1087;.%20&#1083;&#1091;&#1075;&#1086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ланс 2016г"/>
      <sheetName val="2016"/>
      <sheetName val="расчет объема"/>
      <sheetName val="баланс "/>
      <sheetName val="население"/>
      <sheetName val="Бюджет"/>
      <sheetName val="Прочие потребители"/>
      <sheetName val="соб.нужды"/>
      <sheetName val="свод по 46-ТЭ"/>
      <sheetName val="расчет топлива"/>
    </sheetNames>
    <sheetDataSet>
      <sheetData sheetId="0" refreshError="1"/>
      <sheetData sheetId="1" refreshError="1"/>
      <sheetData sheetId="2" refreshError="1">
        <row r="14">
          <cell r="G14">
            <v>4585.7669671856002</v>
          </cell>
        </row>
        <row r="16">
          <cell r="G16">
            <v>1621.65848611872</v>
          </cell>
        </row>
        <row r="19">
          <cell r="G19">
            <v>3204.8722734212802</v>
          </cell>
        </row>
        <row r="20">
          <cell r="G20">
            <v>1735.1595135089601</v>
          </cell>
        </row>
        <row r="23">
          <cell r="G23">
            <v>3263.2685869000002</v>
          </cell>
        </row>
        <row r="25">
          <cell r="G25">
            <v>1149.0238036804794</v>
          </cell>
        </row>
        <row r="26">
          <cell r="G26">
            <v>2028.4645396747198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.5.1"/>
      <sheetName val="П.5.2"/>
      <sheetName val="П.5.3"/>
      <sheetName val="П.5.5"/>
      <sheetName val="П.5.6"/>
      <sheetName val="П.5.7"/>
      <sheetName val="П.5.4"/>
      <sheetName val="П.5.9"/>
      <sheetName val="П.6.1."/>
      <sheetName val="информация"/>
      <sheetName val="тэ служба"/>
      <sheetName val="анализ по от гараниной"/>
      <sheetName val="гвс"/>
      <sheetName val="тн"/>
      <sheetName val="расчет убытков"/>
      <sheetName val="мама"/>
      <sheetName val="91 факт"/>
      <sheetName val="20 факт"/>
      <sheetName val="26 факт"/>
      <sheetName val="свод капы"/>
      <sheetName val="свод теплоисточники"/>
      <sheetName val="свод то и тр электро"/>
      <sheetName val="свод ТО и ТР сети"/>
      <sheetName val="конкурс сиз"/>
      <sheetName val="расчет от экономиста сиз"/>
      <sheetName val="расчет от от и тб"/>
      <sheetName val="молоко"/>
      <sheetName val="общехоз"/>
      <sheetName val="расчет цены угля"/>
      <sheetName val="транспорт"/>
      <sheetName val="гуртовка"/>
      <sheetName val="вода мама"/>
      <sheetName val="вода "/>
      <sheetName val="нужны обоснования"/>
      <sheetName val="П.3.1."/>
      <sheetName val="П.4.1."/>
      <sheetName val="П.4.2."/>
      <sheetName val="П.4.3."/>
      <sheetName val="П.4.4."/>
      <sheetName val="П.4.5."/>
      <sheetName val="П.4.6."/>
      <sheetName val="П.4.7."/>
      <sheetName val="П.4.8."/>
      <sheetName val="П.4.9."/>
      <sheetName val="П.4.10."/>
      <sheetName val="П.4.11."/>
      <sheetName val="П.4.12."/>
      <sheetName val="П.4.13."/>
      <sheetName val="П.4.14."/>
      <sheetName val="П.4.15."/>
      <sheetName val="факт 2020 ээ"/>
      <sheetName val="дефлято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E9">
            <v>1.0409999999999999</v>
          </cell>
        </row>
      </sheetData>
      <sheetData sheetId="10"/>
      <sheetData sheetId="11"/>
      <sheetData sheetId="12"/>
      <sheetData sheetId="13"/>
      <sheetData sheetId="14"/>
      <sheetData sheetId="15">
        <row r="40">
          <cell r="F40">
            <v>17629.400000000001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">
          <cell r="E3">
            <v>347.69399999999996</v>
          </cell>
          <cell r="H3">
            <v>173.84699999999998</v>
          </cell>
        </row>
        <row r="10">
          <cell r="B10">
            <v>13370</v>
          </cell>
        </row>
        <row r="15">
          <cell r="B15">
            <v>4684.5</v>
          </cell>
        </row>
        <row r="16">
          <cell r="B16">
            <v>5621.4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аписка ТЭ"/>
      <sheetName val="Записка ТН"/>
      <sheetName val="ТЭ"/>
      <sheetName val="таб Общехоз"/>
      <sheetName val="тн"/>
      <sheetName val="ГВС"/>
    </sheetNames>
    <sheetDataSet>
      <sheetData sheetId="0"/>
      <sheetData sheetId="1"/>
      <sheetData sheetId="2">
        <row r="82">
          <cell r="I82">
            <v>17629.401125943528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.5.1"/>
      <sheetName val="П.5.2"/>
      <sheetName val="П.5.3"/>
      <sheetName val="П.5.5"/>
      <sheetName val="П.5.6"/>
      <sheetName val="П.5.7"/>
      <sheetName val="П.5.4"/>
      <sheetName val="П.5.9"/>
      <sheetName val="П.6.1."/>
      <sheetName val="анализ по от гараниной"/>
      <sheetName val="реестр потребителей"/>
      <sheetName val="информация"/>
      <sheetName val="гвс"/>
      <sheetName val="тн"/>
      <sheetName val="тэ"/>
      <sheetName val="витим"/>
      <sheetName val="то и тр эо"/>
      <sheetName val="то и тр оборуд"/>
      <sheetName val="26 факт"/>
      <sheetName val="20 факт"/>
      <sheetName val="91 факт"/>
      <sheetName val="расчет убытков"/>
      <sheetName val="продажа"/>
      <sheetName val="свод капы"/>
      <sheetName val="свод ТО и ТР сети"/>
      <sheetName val="свод то и тр электро"/>
      <sheetName val="свод теплоисточники"/>
      <sheetName val="молоко"/>
      <sheetName val="вода "/>
      <sheetName val="расчет от экономиста сиз"/>
      <sheetName val="расчет цены угля"/>
      <sheetName val="гуртовка"/>
      <sheetName val="транспорт"/>
      <sheetName val="П.3.1."/>
      <sheetName val="П.4.1."/>
      <sheetName val="П.4.2."/>
      <sheetName val="П.4.3."/>
      <sheetName val="П.4.4."/>
      <sheetName val="П.4.5."/>
      <sheetName val="П.4.6."/>
      <sheetName val="П.4.7."/>
      <sheetName val="П.4.8."/>
      <sheetName val="П.4.9."/>
      <sheetName val="П.4.10."/>
      <sheetName val="П.4.11."/>
      <sheetName val="П.4.12."/>
      <sheetName val="П.4.13."/>
      <sheetName val="П.4.14."/>
      <sheetName val="П.4.15.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0">
          <cell r="F40">
            <v>3215.9145699999999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5">
          <cell r="E5">
            <v>347.69399999999996</v>
          </cell>
          <cell r="H5">
            <v>173.84699999999998</v>
          </cell>
        </row>
        <row r="12">
          <cell r="B12">
            <v>1910</v>
          </cell>
        </row>
        <row r="14">
          <cell r="B14">
            <v>5725.5</v>
          </cell>
        </row>
        <row r="15">
          <cell r="B15">
            <v>4684.5</v>
          </cell>
        </row>
        <row r="16">
          <cell r="B16">
            <v>5621.4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.5.1"/>
      <sheetName val="П.5.2"/>
      <sheetName val="П.5.3"/>
      <sheetName val="П.5.5"/>
      <sheetName val="П.5.6"/>
      <sheetName val="П.5.7"/>
      <sheetName val="П.5.4"/>
      <sheetName val="П.5.9"/>
      <sheetName val="П.6.1."/>
      <sheetName val="анализ по от гараниной"/>
      <sheetName val="реестр потребителей"/>
      <sheetName val="факт 2020 ээ"/>
      <sheetName val="гвс"/>
      <sheetName val="тн"/>
      <sheetName val="тэ"/>
      <sheetName val="лугов"/>
      <sheetName val="Лист1"/>
      <sheetName val="продажа"/>
      <sheetName val="20 факт"/>
      <sheetName val="91 факт"/>
      <sheetName val="26 факт"/>
      <sheetName val="расчет убытков"/>
      <sheetName val="свод теплоисточники"/>
      <sheetName val="свод то и тр электро"/>
      <sheetName val="свод ТО и ТР сети"/>
      <sheetName val="числ"/>
      <sheetName val="расчет от экономиста сиз"/>
      <sheetName val="молоко"/>
      <sheetName val="общехоз"/>
      <sheetName val="гуртовка"/>
      <sheetName val="расчет цены угля"/>
      <sheetName val="транспорт"/>
      <sheetName val="вода луг"/>
      <sheetName val="П.3.1."/>
      <sheetName val="П.4.1."/>
      <sheetName val="П.4.2."/>
      <sheetName val="П.4.3."/>
      <sheetName val="П.4.4."/>
      <sheetName val="П.4.5."/>
      <sheetName val="П.4.6."/>
      <sheetName val="П.4.7."/>
      <sheetName val="П.4.8."/>
      <sheetName val="П.4.9."/>
      <sheetName val="П.4.10."/>
      <sheetName val="П.4.11."/>
      <sheetName val="П.4.12."/>
      <sheetName val="П.4.13."/>
      <sheetName val="П.4.14."/>
      <sheetName val="П.4.15.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0">
          <cell r="F40">
            <v>4293.6844899999996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1">
          <cell r="C11">
            <v>1992.2866199999999</v>
          </cell>
        </row>
        <row r="14">
          <cell r="B14">
            <v>5725.5</v>
          </cell>
        </row>
        <row r="15">
          <cell r="B15">
            <v>4684.5</v>
          </cell>
        </row>
        <row r="16">
          <cell r="B16">
            <v>5621.4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zakupki.gov.ru/epz/contract/contractCard/common-info.html?reestrNumber=1540810001819000027" TargetMode="External"/><Relationship Id="rId13" Type="http://schemas.openxmlformats.org/officeDocument/2006/relationships/hyperlink" Target="http://zakupki.gov.ru/epz/contract/contractCard/common-info.html?reestrNumber=1771203629622000011" TargetMode="External"/><Relationship Id="rId18" Type="http://schemas.openxmlformats.org/officeDocument/2006/relationships/hyperlink" Target="http://zakupki.gov.ru/epz/contract/contractCard/common-info.html?reestrNumber=1165905654322000075" TargetMode="External"/><Relationship Id="rId26" Type="http://schemas.openxmlformats.org/officeDocument/2006/relationships/hyperlink" Target="http://zakupki.gov.ru/epz/contract/contractCard/common-info.html?reestrNumber=3143302031221000085" TargetMode="External"/><Relationship Id="rId39" Type="http://schemas.openxmlformats.org/officeDocument/2006/relationships/hyperlink" Target="http://zakupki.gov.ru/epz/contract/contractCard/common-info.html?reestrNumber=2900101257323000032" TargetMode="External"/><Relationship Id="rId3" Type="http://schemas.openxmlformats.org/officeDocument/2006/relationships/hyperlink" Target="http://zakupki.gov.ru/epz/contract/contractCard/common-info.html?reestrNumber=3742574547523000010" TargetMode="External"/><Relationship Id="rId21" Type="http://schemas.openxmlformats.org/officeDocument/2006/relationships/hyperlink" Target="http://zakupki.gov.ru/epz/contract/contractCard/common-info.html?reestrNumber=2026000376522000097" TargetMode="External"/><Relationship Id="rId34" Type="http://schemas.openxmlformats.org/officeDocument/2006/relationships/hyperlink" Target="http://zakupki.gov.ru/epz/contract/contractCard/common-info.html?reestrNumber=3744100628823000020" TargetMode="External"/><Relationship Id="rId42" Type="http://schemas.openxmlformats.org/officeDocument/2006/relationships/printerSettings" Target="../printerSettings/printerSettings6.bin"/><Relationship Id="rId7" Type="http://schemas.openxmlformats.org/officeDocument/2006/relationships/hyperlink" Target="http://zakupki.gov.ru/epz/contract/contractCard/common-info.html?reestrNumber=2480300949521000004" TargetMode="External"/><Relationship Id="rId12" Type="http://schemas.openxmlformats.org/officeDocument/2006/relationships/hyperlink" Target="http://zakupki.gov.ru/epz/contract/contractCard/common-info.html?reestrNumber=1575177777722000028" TargetMode="External"/><Relationship Id="rId17" Type="http://schemas.openxmlformats.org/officeDocument/2006/relationships/hyperlink" Target="http://zakupki.gov.ru/epz/contract/contractCard/common-info.html?reestrNumber=2244304735420000229" TargetMode="External"/><Relationship Id="rId25" Type="http://schemas.openxmlformats.org/officeDocument/2006/relationships/hyperlink" Target="http://zakupki.gov.ru/epz/contract/contractCard/common-info.html?reestrNumber=1671500149020000049" TargetMode="External"/><Relationship Id="rId33" Type="http://schemas.openxmlformats.org/officeDocument/2006/relationships/hyperlink" Target="http://zakupki.gov.ru/epz/contract/contractCard/common-info.html?reestrNumber=1771002334022000095" TargetMode="External"/><Relationship Id="rId38" Type="http://schemas.openxmlformats.org/officeDocument/2006/relationships/hyperlink" Target="http://zakupki.gov.ru/epz/contract/contractCard/common-info.html?reestrNumber=3742574547523000010" TargetMode="External"/><Relationship Id="rId2" Type="http://schemas.openxmlformats.org/officeDocument/2006/relationships/printerSettings" Target="../printerSettings/printerSettings5.bin"/><Relationship Id="rId16" Type="http://schemas.openxmlformats.org/officeDocument/2006/relationships/hyperlink" Target="http://zakupki.gov.ru/epz/contract/contractCard/common-info.html?reestrNumber=2524300950123000079" TargetMode="External"/><Relationship Id="rId20" Type="http://schemas.openxmlformats.org/officeDocument/2006/relationships/hyperlink" Target="http://zakupki.gov.ru/epz/contract/contractCard/common-info.html?reestrNumber=1771203629622000008" TargetMode="External"/><Relationship Id="rId29" Type="http://schemas.openxmlformats.org/officeDocument/2006/relationships/hyperlink" Target="http://zakupki.gov.ru/epz/contract/contractCard/common-info.html?reestrNumber=3330103280522000002" TargetMode="External"/><Relationship Id="rId41" Type="http://schemas.openxmlformats.org/officeDocument/2006/relationships/hyperlink" Target="http://zakupki.gov.ru/epz/contract/contractCard/common-info.html?reestrNumber=2771446405723000011" TargetMode="External"/><Relationship Id="rId1" Type="http://schemas.openxmlformats.org/officeDocument/2006/relationships/printerSettings" Target="../printerSettings/printerSettings4.bin"/><Relationship Id="rId6" Type="http://schemas.openxmlformats.org/officeDocument/2006/relationships/hyperlink" Target="http://zakupki.gov.ru/epz/contract/contractCard/common-info.html?reestrNumber=1056207387121000021" TargetMode="External"/><Relationship Id="rId11" Type="http://schemas.openxmlformats.org/officeDocument/2006/relationships/hyperlink" Target="http://zakupki.gov.ru/epz/contract/contractCard/common-info.html?reestrNumber=2552805078522000029" TargetMode="External"/><Relationship Id="rId24" Type="http://schemas.openxmlformats.org/officeDocument/2006/relationships/hyperlink" Target="http://zakupki.gov.ru/epz/contract/contractCard/common-info.html?reestrNumber=2410502210419000013" TargetMode="External"/><Relationship Id="rId32" Type="http://schemas.openxmlformats.org/officeDocument/2006/relationships/hyperlink" Target="http://zakupki.gov.ru/epz/contract/contractCard/common-info.html?reestrNumber=2420705278923000015" TargetMode="External"/><Relationship Id="rId37" Type="http://schemas.openxmlformats.org/officeDocument/2006/relationships/hyperlink" Target="http://zakupki.gov.ru/epz/contract/contractCard/common-info.html?reestrNumber=2165501824023000262" TargetMode="External"/><Relationship Id="rId40" Type="http://schemas.openxmlformats.org/officeDocument/2006/relationships/hyperlink" Target="http://zakupki.gov.ru/epz/contract/contractCard/common-info.html?reestrNumber=1772231995222001151" TargetMode="External"/><Relationship Id="rId5" Type="http://schemas.openxmlformats.org/officeDocument/2006/relationships/hyperlink" Target="http://zakupki.gov.ru/epz/contract/contractCard/common-info.html?reestrNumber=1730201465123000045" TargetMode="External"/><Relationship Id="rId15" Type="http://schemas.openxmlformats.org/officeDocument/2006/relationships/hyperlink" Target="http://zakupki.gov.ru/epz/contract/contractCard/common-info.html?reestrNumber=2472700242423000014" TargetMode="External"/><Relationship Id="rId23" Type="http://schemas.openxmlformats.org/officeDocument/2006/relationships/hyperlink" Target="http://zakupki.gov.ru/epz/contract/contractCard/common-info.html?reestrNumber=1772470742122000076" TargetMode="External"/><Relationship Id="rId28" Type="http://schemas.openxmlformats.org/officeDocument/2006/relationships/hyperlink" Target="http://zakupki.gov.ru/epz/contract/contractCard/common-info.html?reestrNumber=1771202925020000067" TargetMode="External"/><Relationship Id="rId36" Type="http://schemas.openxmlformats.org/officeDocument/2006/relationships/hyperlink" Target="http://zakupki.gov.ru/epz/contract/contractCard/common-info.html?reestrNumber=2784137807220000005" TargetMode="External"/><Relationship Id="rId10" Type="http://schemas.openxmlformats.org/officeDocument/2006/relationships/hyperlink" Target="http://zakupki.gov.ru/epz/contract/contractCard/common-info.html?reestrNumber=2057200059023000007" TargetMode="External"/><Relationship Id="rId19" Type="http://schemas.openxmlformats.org/officeDocument/2006/relationships/hyperlink" Target="http://zakupki.gov.ru/epz/contract/contractCard/common-info.html?reestrNumber=3470404023022000027" TargetMode="External"/><Relationship Id="rId31" Type="http://schemas.openxmlformats.org/officeDocument/2006/relationships/hyperlink" Target="http://zakupki.gov.ru/epz/contract/contractCard/common-info.html?reestrNumber=2553700603823000035" TargetMode="External"/><Relationship Id="rId4" Type="http://schemas.openxmlformats.org/officeDocument/2006/relationships/hyperlink" Target="http://zakupki.gov.ru/epz/contract/contractCard/common-info.html?reestrNumber=1667135626020000048" TargetMode="External"/><Relationship Id="rId9" Type="http://schemas.openxmlformats.org/officeDocument/2006/relationships/hyperlink" Target="http://zakupki.gov.ru/epz/contract/contractCard/common-info.html?reestrNumber=2222402220522000041" TargetMode="External"/><Relationship Id="rId14" Type="http://schemas.openxmlformats.org/officeDocument/2006/relationships/hyperlink" Target="http://zakupki.gov.ru/epz/contract/contractCard/common-info.html?reestrNumber=2524300950123000079" TargetMode="External"/><Relationship Id="rId22" Type="http://schemas.openxmlformats.org/officeDocument/2006/relationships/hyperlink" Target="http://zakupki.gov.ru/epz/contract/contractCard/common-info.html?reestrNumber=2504502725923000006" TargetMode="External"/><Relationship Id="rId27" Type="http://schemas.openxmlformats.org/officeDocument/2006/relationships/hyperlink" Target="http://zakupki.gov.ru/epz/contract/contractCard/common-info.html?reestrNumber=3242200128522000024" TargetMode="External"/><Relationship Id="rId30" Type="http://schemas.openxmlformats.org/officeDocument/2006/relationships/hyperlink" Target="http://zakupki.gov.ru/epz/contract/contractCard/common-info.html?reestrNumber=2672900839022000109" TargetMode="External"/><Relationship Id="rId35" Type="http://schemas.openxmlformats.org/officeDocument/2006/relationships/hyperlink" Target="http://zakupki.gov.ru/epz/contract/contractCard/common-info.html?reestrNumber=2030901565122000049" TargetMode="External"/><Relationship Id="rId43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2"/>
  <sheetViews>
    <sheetView workbookViewId="0">
      <selection activeCell="D11" sqref="D11"/>
    </sheetView>
  </sheetViews>
  <sheetFormatPr defaultRowHeight="15.75" x14ac:dyDescent="0.25"/>
  <cols>
    <col min="1" max="1" width="7.28515625" style="501" bestFit="1" customWidth="1"/>
    <col min="2" max="2" width="41" style="501" bestFit="1" customWidth="1"/>
    <col min="3" max="3" width="15.5703125" style="531" customWidth="1"/>
    <col min="4" max="4" width="17.7109375" style="501" bestFit="1" customWidth="1"/>
    <col min="5" max="5" width="13.140625" style="501" customWidth="1"/>
    <col min="6" max="6" width="20.5703125" style="501" bestFit="1" customWidth="1"/>
    <col min="7" max="7" width="14.28515625" style="501" bestFit="1" customWidth="1"/>
    <col min="8" max="11" width="12.5703125" style="501" bestFit="1" customWidth="1"/>
    <col min="12" max="12" width="9.140625" style="501"/>
    <col min="13" max="14" width="12.5703125" style="501" bestFit="1" customWidth="1"/>
    <col min="15" max="15" width="22.85546875" style="501" customWidth="1"/>
    <col min="16" max="17" width="12.5703125" style="501" bestFit="1" customWidth="1"/>
    <col min="18" max="18" width="9.140625" style="501"/>
    <col min="19" max="19" width="4.42578125" style="501" customWidth="1"/>
    <col min="20" max="20" width="9.42578125" style="501" bestFit="1" customWidth="1"/>
    <col min="21" max="16384" width="9.140625" style="501"/>
  </cols>
  <sheetData>
    <row r="1" spans="1:17" ht="50.25" customHeight="1" x14ac:dyDescent="0.25">
      <c r="N1" s="504" t="s">
        <v>162</v>
      </c>
      <c r="O1" s="504" t="s">
        <v>165</v>
      </c>
      <c r="P1" s="504" t="s">
        <v>163</v>
      </c>
      <c r="Q1" s="504" t="s">
        <v>164</v>
      </c>
    </row>
    <row r="2" spans="1:17" ht="63" x14ac:dyDescent="0.25">
      <c r="A2" s="502" t="s">
        <v>125</v>
      </c>
      <c r="B2" s="523" t="s">
        <v>126</v>
      </c>
      <c r="C2" s="523" t="s">
        <v>142</v>
      </c>
      <c r="D2" s="523" t="s">
        <v>127</v>
      </c>
      <c r="E2" s="523" t="s">
        <v>144</v>
      </c>
      <c r="F2" s="523" t="s">
        <v>130</v>
      </c>
      <c r="G2" s="523" t="s">
        <v>131</v>
      </c>
      <c r="K2" s="537" t="s">
        <v>160</v>
      </c>
      <c r="N2" s="530">
        <v>197</v>
      </c>
      <c r="O2" s="530">
        <f>N2*1.04</f>
        <v>204.88</v>
      </c>
      <c r="P2" s="530">
        <f>O2*1.2</f>
        <v>245.85599999999999</v>
      </c>
      <c r="Q2" s="530">
        <f>P2/N2</f>
        <v>1.248</v>
      </c>
    </row>
    <row r="3" spans="1:17" x14ac:dyDescent="0.25">
      <c r="A3" s="512">
        <v>1</v>
      </c>
      <c r="B3" s="520" t="s">
        <v>101</v>
      </c>
      <c r="C3" s="524"/>
      <c r="D3" s="524"/>
      <c r="E3" s="525"/>
      <c r="F3" s="525"/>
      <c r="G3" s="525"/>
      <c r="M3" s="501">
        <v>1.04</v>
      </c>
    </row>
    <row r="4" spans="1:17" ht="31.5" x14ac:dyDescent="0.25">
      <c r="A4" s="511" t="s">
        <v>133</v>
      </c>
      <c r="B4" s="516" t="s">
        <v>154</v>
      </c>
      <c r="C4" s="518" t="s">
        <v>33</v>
      </c>
      <c r="D4" s="517">
        <v>12500</v>
      </c>
      <c r="E4" s="518" t="str">
        <f>CONCATENATE("не более ",CHAR(10),TEXT(F4,"# ###,00"))</f>
        <v>не более 
245,86</v>
      </c>
      <c r="F4" s="527">
        <f>K4</f>
        <v>245.86</v>
      </c>
      <c r="G4" s="519">
        <f>D4*F4</f>
        <v>3073250</v>
      </c>
      <c r="K4" s="501">
        <f>ROUND(L4*$M$3,2)</f>
        <v>245.86</v>
      </c>
      <c r="L4" s="536">
        <v>236.39999999999998</v>
      </c>
      <c r="M4" s="501">
        <f>K4/1.2</f>
        <v>204.88333333333335</v>
      </c>
    </row>
    <row r="5" spans="1:17" ht="31.5" x14ac:dyDescent="0.25">
      <c r="A5" s="511" t="s">
        <v>134</v>
      </c>
      <c r="B5" s="504" t="s">
        <v>155</v>
      </c>
      <c r="C5" s="500" t="s">
        <v>33</v>
      </c>
      <c r="D5" s="505">
        <v>2500</v>
      </c>
      <c r="E5" s="518" t="str">
        <f t="shared" ref="E5:E13" si="0">CONCATENATE("не более ",CHAR(10),TEXT(F5,"# ###,00"))</f>
        <v>не более 
245,86</v>
      </c>
      <c r="F5" s="527">
        <f t="shared" ref="F5:F13" si="1">K5</f>
        <v>245.86</v>
      </c>
      <c r="G5" s="503">
        <f>D5*F5</f>
        <v>614650</v>
      </c>
      <c r="K5" s="501">
        <f>ROUND(L5*$M$3,2)</f>
        <v>245.86</v>
      </c>
      <c r="L5" s="536">
        <v>236.39999999999998</v>
      </c>
      <c r="M5" s="501">
        <f t="shared" ref="M5:M13" si="2">K5/1.2</f>
        <v>204.88333333333335</v>
      </c>
    </row>
    <row r="6" spans="1:17" ht="31.5" x14ac:dyDescent="0.25">
      <c r="A6" s="511" t="s">
        <v>135</v>
      </c>
      <c r="B6" s="504" t="s">
        <v>156</v>
      </c>
      <c r="C6" s="500" t="s">
        <v>33</v>
      </c>
      <c r="D6" s="505">
        <v>8700</v>
      </c>
      <c r="E6" s="518" t="str">
        <f t="shared" si="0"/>
        <v>не более 
164,74</v>
      </c>
      <c r="F6" s="527">
        <f t="shared" si="1"/>
        <v>164.74</v>
      </c>
      <c r="G6" s="503">
        <f>D6*F6</f>
        <v>1433238</v>
      </c>
      <c r="K6" s="501">
        <f>ROUND(L6*$M$3,2)</f>
        <v>164.74</v>
      </c>
      <c r="L6" s="536">
        <v>158.4</v>
      </c>
      <c r="M6" s="501">
        <f t="shared" si="2"/>
        <v>137.28333333333336</v>
      </c>
    </row>
    <row r="7" spans="1:17" ht="47.25" x14ac:dyDescent="0.25">
      <c r="A7" s="511" t="s">
        <v>136</v>
      </c>
      <c r="B7" s="513" t="s">
        <v>157</v>
      </c>
      <c r="C7" s="532" t="s">
        <v>33</v>
      </c>
      <c r="D7" s="514">
        <v>3800</v>
      </c>
      <c r="E7" s="518" t="str">
        <f t="shared" si="0"/>
        <v>не более 
1 219,30</v>
      </c>
      <c r="F7" s="527">
        <f t="shared" si="1"/>
        <v>1219.3</v>
      </c>
      <c r="G7" s="515">
        <f>D7*F7</f>
        <v>4633340</v>
      </c>
      <c r="K7" s="501">
        <f>ROUND(L7*$M$3,2)</f>
        <v>1219.3</v>
      </c>
      <c r="L7" s="536">
        <v>1172.3999999999999</v>
      </c>
      <c r="M7" s="501">
        <f t="shared" si="2"/>
        <v>1016.0833333333334</v>
      </c>
    </row>
    <row r="8" spans="1:17" x14ac:dyDescent="0.25">
      <c r="A8" s="512">
        <v>2</v>
      </c>
      <c r="B8" s="520" t="s">
        <v>132</v>
      </c>
      <c r="C8" s="524"/>
      <c r="D8" s="521"/>
      <c r="E8" s="526"/>
      <c r="F8" s="527"/>
      <c r="G8" s="522"/>
      <c r="L8" s="536"/>
      <c r="M8" s="501">
        <f t="shared" si="2"/>
        <v>0</v>
      </c>
    </row>
    <row r="9" spans="1:17" ht="31.5" x14ac:dyDescent="0.25">
      <c r="A9" s="511" t="s">
        <v>137</v>
      </c>
      <c r="B9" s="516" t="s">
        <v>159</v>
      </c>
      <c r="C9" s="533" t="s">
        <v>33</v>
      </c>
      <c r="D9" s="517">
        <v>15000</v>
      </c>
      <c r="E9" s="518" t="str">
        <f t="shared" si="0"/>
        <v>не более 
453,84</v>
      </c>
      <c r="F9" s="527">
        <f t="shared" si="1"/>
        <v>453.84</v>
      </c>
      <c r="G9" s="519">
        <f>D9*F9</f>
        <v>6807600</v>
      </c>
      <c r="K9" s="501">
        <f>ROUND(L9*$M$3,2)</f>
        <v>453.84</v>
      </c>
      <c r="L9" s="536">
        <v>436.37999999999994</v>
      </c>
      <c r="M9" s="501">
        <f t="shared" si="2"/>
        <v>378.2</v>
      </c>
    </row>
    <row r="10" spans="1:17" ht="31.5" x14ac:dyDescent="0.25">
      <c r="A10" s="511" t="s">
        <v>138</v>
      </c>
      <c r="B10" s="504" t="s">
        <v>158</v>
      </c>
      <c r="C10" s="534" t="s">
        <v>33</v>
      </c>
      <c r="D10" s="505">
        <f>D6+D7</f>
        <v>12500</v>
      </c>
      <c r="E10" s="518" t="str">
        <f t="shared" si="0"/>
        <v>не более 
223,03</v>
      </c>
      <c r="F10" s="527">
        <f t="shared" si="1"/>
        <v>223.03</v>
      </c>
      <c r="G10" s="503">
        <f>D10*F10</f>
        <v>2787875</v>
      </c>
      <c r="K10" s="501">
        <f>ROUND(L10*$M$3,2)</f>
        <v>223.03</v>
      </c>
      <c r="L10" s="536">
        <v>214.45</v>
      </c>
      <c r="M10" s="501">
        <f t="shared" si="2"/>
        <v>185.85833333333335</v>
      </c>
    </row>
    <row r="11" spans="1:17" ht="47.25" x14ac:dyDescent="0.25">
      <c r="A11" s="511" t="s">
        <v>139</v>
      </c>
      <c r="B11" s="504" t="s">
        <v>129</v>
      </c>
      <c r="C11" s="500" t="s">
        <v>143</v>
      </c>
      <c r="D11" s="500">
        <v>675</v>
      </c>
      <c r="E11" s="518" t="str">
        <f t="shared" si="0"/>
        <v>не более 
7 485,50</v>
      </c>
      <c r="F11" s="527">
        <f t="shared" si="1"/>
        <v>7485.5</v>
      </c>
      <c r="G11" s="503">
        <f>D11*F11</f>
        <v>5052712.5</v>
      </c>
      <c r="K11" s="501">
        <f>ROUND(L11*$M$3,2)</f>
        <v>7485.5</v>
      </c>
      <c r="L11" s="536">
        <v>7197.5999999999995</v>
      </c>
      <c r="M11" s="501">
        <f t="shared" si="2"/>
        <v>6237.916666666667</v>
      </c>
    </row>
    <row r="12" spans="1:17" ht="31.5" x14ac:dyDescent="0.25">
      <c r="A12" s="511" t="s">
        <v>140</v>
      </c>
      <c r="B12" s="504" t="s">
        <v>128</v>
      </c>
      <c r="C12" s="500" t="s">
        <v>143</v>
      </c>
      <c r="D12" s="500">
        <v>350</v>
      </c>
      <c r="E12" s="518" t="str">
        <f t="shared" si="0"/>
        <v>не более 
7 485,50</v>
      </c>
      <c r="F12" s="527">
        <f t="shared" si="1"/>
        <v>7485.5</v>
      </c>
      <c r="G12" s="503">
        <f>D12*F12</f>
        <v>2619925</v>
      </c>
      <c r="K12" s="501">
        <f>ROUND(L12*$M$3,2)</f>
        <v>7485.5</v>
      </c>
      <c r="L12" s="536">
        <v>7197.5999999999995</v>
      </c>
      <c r="M12" s="501">
        <f t="shared" si="2"/>
        <v>6237.916666666667</v>
      </c>
    </row>
    <row r="13" spans="1:17" ht="31.5" x14ac:dyDescent="0.25">
      <c r="A13" s="511" t="s">
        <v>141</v>
      </c>
      <c r="B13" s="504" t="s">
        <v>1</v>
      </c>
      <c r="C13" s="500" t="s">
        <v>143</v>
      </c>
      <c r="D13" s="500">
        <v>405</v>
      </c>
      <c r="E13" s="518" t="str">
        <f t="shared" si="0"/>
        <v>не более 
6 081,50</v>
      </c>
      <c r="F13" s="527">
        <f t="shared" si="1"/>
        <v>6081.5</v>
      </c>
      <c r="G13" s="503">
        <f>D13*F13</f>
        <v>2463007.5</v>
      </c>
      <c r="K13" s="501">
        <f>ROUND(L13*$M$3,2)</f>
        <v>6081.5</v>
      </c>
      <c r="L13" s="536">
        <v>5847.5999999999995</v>
      </c>
      <c r="M13" s="501">
        <f t="shared" si="2"/>
        <v>5067.916666666667</v>
      </c>
    </row>
    <row r="14" spans="1:17" x14ac:dyDescent="0.25">
      <c r="A14" s="502"/>
      <c r="B14" s="502"/>
      <c r="C14" s="502"/>
      <c r="D14" s="502"/>
      <c r="E14" s="502"/>
      <c r="F14" s="502"/>
      <c r="G14" s="510">
        <f>SUM(G4:G13)</f>
        <v>29485598</v>
      </c>
    </row>
    <row r="17" spans="1:6" x14ac:dyDescent="0.25">
      <c r="A17" s="501">
        <v>1</v>
      </c>
      <c r="B17" s="535">
        <v>3322.43</v>
      </c>
      <c r="C17" s="531">
        <f>B17/$B$23</f>
        <v>0.21858092105263158</v>
      </c>
      <c r="E17" s="536">
        <f>ROUND($D$23*C17,0)</f>
        <v>1902</v>
      </c>
      <c r="F17" s="536"/>
    </row>
    <row r="18" spans="1:6" x14ac:dyDescent="0.25">
      <c r="A18" s="501">
        <v>2</v>
      </c>
      <c r="B18" s="535">
        <v>1018.42</v>
      </c>
      <c r="C18" s="531">
        <f t="shared" ref="C18:C22" si="3">B18/$B$23</f>
        <v>6.7001315789473687E-2</v>
      </c>
      <c r="E18" s="536">
        <f t="shared" ref="E18:E22" si="4">ROUND($D$23*C18,0)</f>
        <v>583</v>
      </c>
      <c r="F18" s="536"/>
    </row>
    <row r="19" spans="1:6" x14ac:dyDescent="0.25">
      <c r="A19" s="501">
        <v>3</v>
      </c>
      <c r="B19" s="535">
        <v>1779.64</v>
      </c>
      <c r="C19" s="531">
        <f t="shared" si="3"/>
        <v>0.11708157894736843</v>
      </c>
      <c r="E19" s="536">
        <f t="shared" si="4"/>
        <v>1019</v>
      </c>
      <c r="F19" s="536"/>
    </row>
    <row r="20" spans="1:6" x14ac:dyDescent="0.25">
      <c r="A20" s="501">
        <v>4</v>
      </c>
      <c r="B20" s="535">
        <v>5019.95</v>
      </c>
      <c r="C20" s="531">
        <f t="shared" si="3"/>
        <v>0.33025986842105259</v>
      </c>
      <c r="E20" s="536">
        <f t="shared" si="4"/>
        <v>2873</v>
      </c>
    </row>
    <row r="21" spans="1:6" ht="15" customHeight="1" x14ac:dyDescent="0.25">
      <c r="A21" s="501">
        <v>5</v>
      </c>
      <c r="B21" s="535">
        <v>1648.79</v>
      </c>
      <c r="C21" s="531">
        <f t="shared" si="3"/>
        <v>0.10847302631578948</v>
      </c>
      <c r="E21" s="536">
        <f t="shared" si="4"/>
        <v>944</v>
      </c>
    </row>
    <row r="22" spans="1:6" ht="15" customHeight="1" x14ac:dyDescent="0.25">
      <c r="A22" s="501">
        <v>6</v>
      </c>
      <c r="B22" s="535">
        <v>2410.77</v>
      </c>
      <c r="C22" s="531">
        <f t="shared" si="3"/>
        <v>0.15860328947368421</v>
      </c>
      <c r="E22" s="536">
        <f t="shared" si="4"/>
        <v>1380</v>
      </c>
    </row>
    <row r="23" spans="1:6" x14ac:dyDescent="0.25">
      <c r="B23" s="501">
        <f>SUM(B17:B22)</f>
        <v>15200</v>
      </c>
      <c r="D23" s="501">
        <v>8700</v>
      </c>
    </row>
    <row r="24" spans="1:6" ht="15.75" customHeight="1" x14ac:dyDescent="0.25"/>
    <row r="25" spans="1:6" x14ac:dyDescent="0.25">
      <c r="E25" s="536">
        <f>D23-E20</f>
        <v>5827</v>
      </c>
    </row>
    <row r="43" spans="1:29" s="507" customFormat="1" ht="67.150000000000006" customHeight="1" x14ac:dyDescent="0.25">
      <c r="A43" s="501"/>
      <c r="B43" s="501"/>
      <c r="C43" s="531"/>
      <c r="D43" s="501"/>
      <c r="E43" s="501"/>
      <c r="F43" s="501"/>
      <c r="G43" s="501"/>
      <c r="H43" s="50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1"/>
      <c r="T43" s="501"/>
      <c r="U43" s="501"/>
      <c r="V43" s="501"/>
      <c r="W43" s="501"/>
      <c r="X43" s="506"/>
      <c r="AA43" s="508"/>
    </row>
    <row r="44" spans="1:29" s="507" customFormat="1" x14ac:dyDescent="0.25">
      <c r="A44" s="501"/>
      <c r="B44" s="501"/>
      <c r="C44" s="531"/>
      <c r="D44" s="501"/>
      <c r="E44" s="501"/>
      <c r="F44" s="501"/>
      <c r="G44" s="501"/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  <c r="U44" s="501"/>
      <c r="V44" s="501"/>
      <c r="W44" s="501"/>
      <c r="AA44" s="508"/>
    </row>
    <row r="45" spans="1:29" s="507" customFormat="1" x14ac:dyDescent="0.25">
      <c r="A45" s="501"/>
      <c r="B45" s="501"/>
      <c r="C45" s="531"/>
      <c r="D45" s="501"/>
      <c r="E45" s="501"/>
      <c r="F45" s="501"/>
      <c r="G45" s="501"/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1"/>
      <c r="U45" s="501"/>
      <c r="V45" s="501"/>
      <c r="W45" s="501"/>
      <c r="AA45" s="508"/>
    </row>
    <row r="46" spans="1:29" s="507" customFormat="1" x14ac:dyDescent="0.25">
      <c r="A46" s="501"/>
      <c r="B46" s="501"/>
      <c r="C46" s="531"/>
      <c r="D46" s="501"/>
      <c r="E46" s="501"/>
      <c r="F46" s="501"/>
      <c r="G46" s="501"/>
      <c r="H46" s="501"/>
      <c r="I46" s="501"/>
      <c r="J46" s="501"/>
      <c r="K46" s="501"/>
      <c r="L46" s="501"/>
      <c r="M46" s="501"/>
      <c r="N46" s="501"/>
      <c r="O46" s="501"/>
      <c r="P46" s="501"/>
      <c r="Q46" s="501"/>
      <c r="R46" s="501"/>
      <c r="S46" s="501"/>
      <c r="T46" s="501"/>
      <c r="U46" s="501"/>
      <c r="V46" s="501"/>
      <c r="W46" s="501"/>
      <c r="AC46" s="509"/>
    </row>
    <row r="47" spans="1:29" s="507" customFormat="1" x14ac:dyDescent="0.25">
      <c r="A47" s="501"/>
      <c r="B47" s="501"/>
      <c r="C47" s="531"/>
      <c r="D47" s="501"/>
      <c r="E47" s="501"/>
      <c r="F47" s="501"/>
      <c r="G47" s="501"/>
      <c r="H47" s="501"/>
      <c r="I47" s="501"/>
      <c r="J47" s="501"/>
      <c r="K47" s="501"/>
      <c r="L47" s="501"/>
      <c r="M47" s="501"/>
      <c r="N47" s="501"/>
      <c r="O47" s="501"/>
      <c r="P47" s="501"/>
      <c r="Q47" s="501"/>
      <c r="R47" s="501"/>
      <c r="S47" s="501"/>
      <c r="T47" s="501"/>
      <c r="U47" s="501"/>
      <c r="V47" s="501"/>
      <c r="W47" s="501"/>
    </row>
    <row r="48" spans="1:29" s="507" customFormat="1" x14ac:dyDescent="0.25">
      <c r="A48" s="501"/>
      <c r="B48" s="501"/>
      <c r="C48" s="531"/>
      <c r="D48" s="501"/>
      <c r="E48" s="501"/>
      <c r="F48" s="501"/>
      <c r="G48" s="501"/>
      <c r="H48" s="501"/>
      <c r="I48" s="501"/>
      <c r="J48" s="501"/>
      <c r="K48" s="501"/>
      <c r="L48" s="501"/>
      <c r="M48" s="501"/>
      <c r="N48" s="501"/>
      <c r="O48" s="501"/>
      <c r="P48" s="501"/>
      <c r="Q48" s="501"/>
      <c r="R48" s="501"/>
      <c r="S48" s="501"/>
      <c r="T48" s="501"/>
      <c r="U48" s="501"/>
      <c r="V48" s="501"/>
      <c r="W48" s="501"/>
    </row>
    <row r="49" spans="1:23" s="507" customFormat="1" x14ac:dyDescent="0.25">
      <c r="A49" s="501"/>
      <c r="B49" s="501"/>
      <c r="C49" s="531"/>
      <c r="D49" s="501"/>
      <c r="E49" s="501"/>
      <c r="F49" s="501"/>
      <c r="G49" s="501"/>
      <c r="H49" s="501"/>
      <c r="I49" s="501"/>
      <c r="J49" s="501"/>
      <c r="K49" s="501"/>
      <c r="L49" s="501"/>
      <c r="M49" s="501"/>
      <c r="N49" s="501"/>
      <c r="O49" s="501"/>
      <c r="P49" s="501"/>
      <c r="Q49" s="501"/>
      <c r="R49" s="501"/>
      <c r="S49" s="501"/>
      <c r="T49" s="501"/>
      <c r="U49" s="501"/>
      <c r="V49" s="501"/>
      <c r="W49" s="501"/>
    </row>
    <row r="50" spans="1:23" s="507" customFormat="1" x14ac:dyDescent="0.25">
      <c r="A50" s="501"/>
      <c r="B50" s="501"/>
      <c r="C50" s="531"/>
      <c r="D50" s="501"/>
      <c r="E50" s="501"/>
      <c r="F50" s="501"/>
      <c r="G50" s="501"/>
      <c r="H50" s="501"/>
      <c r="I50" s="501"/>
      <c r="J50" s="501"/>
      <c r="K50" s="501"/>
      <c r="L50" s="501"/>
      <c r="M50" s="501"/>
      <c r="N50" s="501"/>
      <c r="O50" s="501"/>
      <c r="P50" s="501"/>
      <c r="Q50" s="501"/>
      <c r="R50" s="501"/>
      <c r="S50" s="501"/>
      <c r="T50" s="501"/>
      <c r="U50" s="501"/>
      <c r="V50" s="501"/>
      <c r="W50" s="501"/>
    </row>
    <row r="51" spans="1:23" s="507" customFormat="1" x14ac:dyDescent="0.25">
      <c r="A51" s="501"/>
      <c r="B51" s="501"/>
      <c r="C51" s="531"/>
      <c r="D51" s="501"/>
      <c r="E51" s="501"/>
      <c r="F51" s="501"/>
      <c r="G51" s="501"/>
      <c r="H51" s="501"/>
      <c r="I51" s="501"/>
      <c r="J51" s="501"/>
      <c r="K51" s="501"/>
      <c r="L51" s="501"/>
      <c r="M51" s="501"/>
      <c r="N51" s="501"/>
      <c r="O51" s="501"/>
      <c r="P51" s="501"/>
      <c r="Q51" s="501"/>
      <c r="R51" s="501"/>
      <c r="S51" s="501"/>
      <c r="T51" s="501"/>
      <c r="U51" s="501"/>
      <c r="V51" s="501"/>
      <c r="W51" s="501"/>
    </row>
    <row r="52" spans="1:23" s="507" customFormat="1" x14ac:dyDescent="0.25">
      <c r="A52" s="501"/>
      <c r="B52" s="501"/>
      <c r="C52" s="531"/>
      <c r="D52" s="501"/>
      <c r="E52" s="501"/>
      <c r="F52" s="501"/>
      <c r="G52" s="501"/>
      <c r="H52" s="501"/>
      <c r="I52" s="501"/>
      <c r="J52" s="501"/>
      <c r="K52" s="501"/>
      <c r="L52" s="501"/>
      <c r="M52" s="501"/>
      <c r="N52" s="501"/>
      <c r="O52" s="501"/>
      <c r="P52" s="501"/>
      <c r="Q52" s="501"/>
      <c r="R52" s="501"/>
      <c r="S52" s="501"/>
      <c r="T52" s="501"/>
      <c r="U52" s="501"/>
      <c r="V52" s="501"/>
      <c r="W52" s="501"/>
    </row>
  </sheetData>
  <customSheetViews>
    <customSheetView guid="{4F83E3D9-05C9-45DD-BE29-5010E4EF885C}">
      <selection activeCell="F53" sqref="F53"/>
      <pageMargins left="0.7" right="0.7" top="0.75" bottom="0.75" header="0.3" footer="0.3"/>
      <pageSetup paperSize="9" orientation="portrait" r:id="rId1"/>
    </customSheetView>
    <customSheetView guid="{E3DB1A70-74DD-44C5-A9A7-0FA1388C0D1F}">
      <selection activeCell="D11" sqref="D11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  <customProperties>
    <customPr name="LastActive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54"/>
  <sheetViews>
    <sheetView tabSelected="1" zoomScaleNormal="100" workbookViewId="0">
      <selection activeCell="S6" sqref="S6"/>
    </sheetView>
  </sheetViews>
  <sheetFormatPr defaultRowHeight="15.75" x14ac:dyDescent="0.25"/>
  <cols>
    <col min="1" max="1" width="9.140625" style="501"/>
    <col min="2" max="2" width="55" style="501" customWidth="1"/>
    <col min="3" max="3" width="15.85546875" style="501" customWidth="1"/>
    <col min="4" max="4" width="14.42578125" style="501" customWidth="1"/>
    <col min="5" max="5" width="10.140625" style="501" bestFit="1" customWidth="1"/>
    <col min="6" max="6" width="9.140625" style="501"/>
    <col min="7" max="7" width="10.140625" style="501" bestFit="1" customWidth="1"/>
    <col min="8" max="8" width="9.140625" style="501"/>
    <col min="9" max="10" width="10.140625" style="543" customWidth="1"/>
    <col min="11" max="13" width="12.7109375" style="543" customWidth="1"/>
    <col min="14" max="15" width="10.140625" style="501" customWidth="1"/>
    <col min="16" max="17" width="14.28515625" style="501" bestFit="1" customWidth="1"/>
    <col min="18" max="16384" width="9.140625" style="501"/>
  </cols>
  <sheetData>
    <row r="2" spans="1:17" ht="15.75" customHeight="1" x14ac:dyDescent="0.25">
      <c r="B2" s="559" t="s">
        <v>252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</row>
    <row r="3" spans="1:17" ht="24.75" customHeight="1" x14ac:dyDescent="0.25"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</row>
    <row r="4" spans="1:17" ht="16.5" thickBot="1" x14ac:dyDescent="0.3"/>
    <row r="5" spans="1:17" ht="15.75" customHeight="1" thickBot="1" x14ac:dyDescent="0.3">
      <c r="E5" s="618" t="s">
        <v>208</v>
      </c>
      <c r="F5" s="618"/>
      <c r="G5" s="618" t="s">
        <v>248</v>
      </c>
      <c r="H5" s="618"/>
      <c r="I5" s="619" t="s">
        <v>249</v>
      </c>
      <c r="J5" s="620"/>
      <c r="K5" s="621"/>
      <c r="L5" s="622" t="s">
        <v>250</v>
      </c>
      <c r="M5" s="622" t="s">
        <v>251</v>
      </c>
      <c r="N5" s="622" t="s">
        <v>284</v>
      </c>
      <c r="O5" s="622" t="s">
        <v>285</v>
      </c>
      <c r="P5" s="622" t="s">
        <v>286</v>
      </c>
      <c r="Q5" s="622" t="s">
        <v>287</v>
      </c>
    </row>
    <row r="6" spans="1:17" ht="234" customHeight="1" thickBot="1" x14ac:dyDescent="0.3">
      <c r="A6" s="528" t="s">
        <v>125</v>
      </c>
      <c r="B6" s="528" t="s">
        <v>126</v>
      </c>
      <c r="C6" s="502" t="s">
        <v>142</v>
      </c>
      <c r="D6" s="512" t="s">
        <v>161</v>
      </c>
      <c r="E6" s="544" t="s">
        <v>284</v>
      </c>
      <c r="F6" s="545" t="s">
        <v>285</v>
      </c>
      <c r="G6" s="546" t="s">
        <v>284</v>
      </c>
      <c r="H6" s="549" t="s">
        <v>145</v>
      </c>
      <c r="I6" s="547" t="s">
        <v>284</v>
      </c>
      <c r="J6" s="548" t="s">
        <v>285</v>
      </c>
      <c r="K6" s="550" t="s">
        <v>210</v>
      </c>
      <c r="L6" s="623"/>
      <c r="M6" s="623"/>
      <c r="N6" s="623"/>
      <c r="O6" s="623"/>
      <c r="P6" s="623"/>
      <c r="Q6" s="623"/>
    </row>
    <row r="7" spans="1:17" s="535" customFormat="1" ht="60.75" customHeight="1" thickBot="1" x14ac:dyDescent="0.3">
      <c r="A7" s="529" t="s">
        <v>146</v>
      </c>
      <c r="B7" s="615" t="s">
        <v>166</v>
      </c>
      <c r="C7" s="539" t="s">
        <v>206</v>
      </c>
      <c r="D7" s="540">
        <v>20</v>
      </c>
      <c r="E7" s="554">
        <f>F7/1.2</f>
        <v>330.41666666666669</v>
      </c>
      <c r="F7" s="554">
        <v>396.5</v>
      </c>
      <c r="G7" s="554">
        <f>H7/1.2</f>
        <v>361.64166666666671</v>
      </c>
      <c r="H7" s="555">
        <v>433.97</v>
      </c>
      <c r="I7" s="555">
        <v>399.76</v>
      </c>
      <c r="J7" s="556">
        <f>399.76*1.2</f>
        <v>479.71199999999999</v>
      </c>
      <c r="K7" s="551" t="s">
        <v>211</v>
      </c>
      <c r="L7" s="552">
        <f>(((F7-O7)^2+(H7-O7)^2+(J7-O7)^2)/(3-1))^0.5</f>
        <v>41.674469418738049</v>
      </c>
      <c r="M7" s="553">
        <f>L7/O7</f>
        <v>9.5424458782225788E-2</v>
      </c>
      <c r="N7" s="554">
        <f t="shared" ref="N7:N45" si="0">(E7+G7+I7)/3</f>
        <v>363.93944444444446</v>
      </c>
      <c r="O7" s="554">
        <f t="shared" ref="O7:O45" si="1">(F7+H7+J7)/3</f>
        <v>436.72733333333332</v>
      </c>
      <c r="P7" s="554">
        <f t="shared" ref="P7:P45" si="2">N7*D7</f>
        <v>7278.7888888888892</v>
      </c>
      <c r="Q7" s="554">
        <f t="shared" ref="Q7:Q45" si="3">O7*D7</f>
        <v>8734.5466666666671</v>
      </c>
    </row>
    <row r="8" spans="1:17" s="535" customFormat="1" ht="51.75" thickBot="1" x14ac:dyDescent="0.3">
      <c r="A8" s="529" t="s">
        <v>254</v>
      </c>
      <c r="B8" s="616" t="s">
        <v>167</v>
      </c>
      <c r="C8" s="541" t="s">
        <v>206</v>
      </c>
      <c r="D8" s="542">
        <v>20</v>
      </c>
      <c r="E8" s="554">
        <f t="shared" ref="E8:E45" si="4">F8/1.2</f>
        <v>76.791666666666671</v>
      </c>
      <c r="F8" s="554">
        <v>92.15</v>
      </c>
      <c r="G8" s="554">
        <f t="shared" ref="G8:G45" si="5">H8/1.2</f>
        <v>84.041666666666671</v>
      </c>
      <c r="H8" s="555">
        <v>100.85</v>
      </c>
      <c r="I8" s="556">
        <f>120/1.2</f>
        <v>100</v>
      </c>
      <c r="J8" s="555">
        <v>120</v>
      </c>
      <c r="K8" s="551" t="s">
        <v>212</v>
      </c>
      <c r="L8" s="552">
        <f t="shared" ref="L8:L45" si="6">(((F8-O8)^2+(H8-O8)^2+(J8-O8)^2)/(3-1))^0.5</f>
        <v>14.248011557172926</v>
      </c>
      <c r="M8" s="553">
        <f t="shared" ref="M8:M45" si="7">L8/O8</f>
        <v>0.13656241109111431</v>
      </c>
      <c r="N8" s="554">
        <f t="shared" si="0"/>
        <v>86.944444444444457</v>
      </c>
      <c r="O8" s="554">
        <f t="shared" si="1"/>
        <v>104.33333333333333</v>
      </c>
      <c r="P8" s="554">
        <f t="shared" si="2"/>
        <v>1738.8888888888891</v>
      </c>
      <c r="Q8" s="554">
        <f t="shared" si="3"/>
        <v>2086.6666666666665</v>
      </c>
    </row>
    <row r="9" spans="1:17" s="535" customFormat="1" ht="51.75" thickBot="1" x14ac:dyDescent="0.3">
      <c r="A9" s="529" t="s">
        <v>147</v>
      </c>
      <c r="B9" s="616" t="s">
        <v>168</v>
      </c>
      <c r="C9" s="541" t="s">
        <v>209</v>
      </c>
      <c r="D9" s="542">
        <v>500</v>
      </c>
      <c r="E9" s="554">
        <f t="shared" si="4"/>
        <v>250</v>
      </c>
      <c r="F9" s="554">
        <v>300</v>
      </c>
      <c r="G9" s="554">
        <f t="shared" si="5"/>
        <v>254.16666666666669</v>
      </c>
      <c r="H9" s="555">
        <v>305</v>
      </c>
      <c r="I9" s="556">
        <f>308/1.2</f>
        <v>256.66666666666669</v>
      </c>
      <c r="J9" s="555">
        <v>308</v>
      </c>
      <c r="K9" s="551" t="s">
        <v>213</v>
      </c>
      <c r="L9" s="552">
        <f t="shared" si="6"/>
        <v>4.0414518843273806</v>
      </c>
      <c r="M9" s="553">
        <f t="shared" si="7"/>
        <v>1.3279688557483179E-2</v>
      </c>
      <c r="N9" s="554">
        <f t="shared" si="0"/>
        <v>253.61111111111111</v>
      </c>
      <c r="O9" s="554">
        <f t="shared" si="1"/>
        <v>304.33333333333331</v>
      </c>
      <c r="P9" s="554">
        <f t="shared" si="2"/>
        <v>126805.55555555556</v>
      </c>
      <c r="Q9" s="554">
        <f t="shared" si="3"/>
        <v>152166.66666666666</v>
      </c>
    </row>
    <row r="10" spans="1:17" s="535" customFormat="1" ht="51.75" thickBot="1" x14ac:dyDescent="0.3">
      <c r="A10" s="529" t="s">
        <v>148</v>
      </c>
      <c r="B10" s="616" t="s">
        <v>169</v>
      </c>
      <c r="C10" s="541" t="s">
        <v>206</v>
      </c>
      <c r="D10" s="542">
        <v>40</v>
      </c>
      <c r="E10" s="554">
        <f t="shared" si="4"/>
        <v>35.091666666666669</v>
      </c>
      <c r="F10" s="554">
        <v>42.11</v>
      </c>
      <c r="G10" s="554">
        <f t="shared" si="5"/>
        <v>38.425000000000004</v>
      </c>
      <c r="H10" s="555">
        <v>46.11</v>
      </c>
      <c r="I10" s="555">
        <v>45</v>
      </c>
      <c r="J10" s="556">
        <f>45*1.2</f>
        <v>54</v>
      </c>
      <c r="K10" s="551" t="s">
        <v>214</v>
      </c>
      <c r="L10" s="552">
        <f t="shared" si="6"/>
        <v>6.0501267204359719</v>
      </c>
      <c r="M10" s="553">
        <f t="shared" si="7"/>
        <v>0.12762185460067441</v>
      </c>
      <c r="N10" s="554">
        <f t="shared" si="0"/>
        <v>39.50555555555556</v>
      </c>
      <c r="O10" s="554">
        <f t="shared" si="1"/>
        <v>47.406666666666666</v>
      </c>
      <c r="P10" s="554">
        <f t="shared" si="2"/>
        <v>1580.2222222222224</v>
      </c>
      <c r="Q10" s="554">
        <f t="shared" si="3"/>
        <v>1896.2666666666667</v>
      </c>
    </row>
    <row r="11" spans="1:17" s="535" customFormat="1" ht="51.75" thickBot="1" x14ac:dyDescent="0.3">
      <c r="A11" s="529" t="s">
        <v>149</v>
      </c>
      <c r="B11" s="616" t="s">
        <v>170</v>
      </c>
      <c r="C11" s="541" t="s">
        <v>206</v>
      </c>
      <c r="D11" s="542">
        <v>20</v>
      </c>
      <c r="E11" s="554">
        <f t="shared" si="4"/>
        <v>28.391666666666669</v>
      </c>
      <c r="F11" s="554">
        <v>34.07</v>
      </c>
      <c r="G11" s="554">
        <f t="shared" si="5"/>
        <v>31.074999999999999</v>
      </c>
      <c r="H11" s="555">
        <v>37.29</v>
      </c>
      <c r="I11" s="556">
        <f>42.47/1.2</f>
        <v>35.391666666666666</v>
      </c>
      <c r="J11" s="555">
        <v>42.47</v>
      </c>
      <c r="K11" s="551" t="s">
        <v>215</v>
      </c>
      <c r="L11" s="552">
        <f t="shared" si="6"/>
        <v>4.2379397510268273</v>
      </c>
      <c r="M11" s="553">
        <f t="shared" si="7"/>
        <v>0.11169128747325381</v>
      </c>
      <c r="N11" s="554">
        <f t="shared" si="0"/>
        <v>31.619444444444444</v>
      </c>
      <c r="O11" s="554">
        <f t="shared" si="1"/>
        <v>37.943333333333335</v>
      </c>
      <c r="P11" s="554">
        <f t="shared" si="2"/>
        <v>632.38888888888891</v>
      </c>
      <c r="Q11" s="554">
        <f t="shared" si="3"/>
        <v>758.86666666666667</v>
      </c>
    </row>
    <row r="12" spans="1:17" s="535" customFormat="1" ht="51.75" thickBot="1" x14ac:dyDescent="0.3">
      <c r="A12" s="529" t="s">
        <v>150</v>
      </c>
      <c r="B12" s="616" t="s">
        <v>171</v>
      </c>
      <c r="C12" s="541" t="s">
        <v>206</v>
      </c>
      <c r="D12" s="542">
        <v>20</v>
      </c>
      <c r="E12" s="554">
        <f t="shared" si="4"/>
        <v>96.95</v>
      </c>
      <c r="F12" s="554">
        <v>116.34</v>
      </c>
      <c r="G12" s="554">
        <f t="shared" si="5"/>
        <v>106.11666666666667</v>
      </c>
      <c r="H12" s="555">
        <v>127.34</v>
      </c>
      <c r="I12" s="555">
        <v>142.93</v>
      </c>
      <c r="J12" s="556">
        <f>142.93*1.2</f>
        <v>171.51599999999999</v>
      </c>
      <c r="K12" s="551" t="s">
        <v>216</v>
      </c>
      <c r="L12" s="552">
        <f t="shared" si="6"/>
        <v>29.203053356341574</v>
      </c>
      <c r="M12" s="553">
        <f t="shared" si="7"/>
        <v>0.21100675360317708</v>
      </c>
      <c r="N12" s="554">
        <f t="shared" si="0"/>
        <v>115.33222222222223</v>
      </c>
      <c r="O12" s="554">
        <f t="shared" si="1"/>
        <v>138.39866666666668</v>
      </c>
      <c r="P12" s="554">
        <f t="shared" si="2"/>
        <v>2306.6444444444446</v>
      </c>
      <c r="Q12" s="554">
        <f t="shared" si="3"/>
        <v>2767.9733333333338</v>
      </c>
    </row>
    <row r="13" spans="1:17" s="535" customFormat="1" ht="51.75" thickBot="1" x14ac:dyDescent="0.3">
      <c r="A13" s="529" t="s">
        <v>151</v>
      </c>
      <c r="B13" s="616" t="s">
        <v>172</v>
      </c>
      <c r="C13" s="541" t="s">
        <v>206</v>
      </c>
      <c r="D13" s="542">
        <v>25</v>
      </c>
      <c r="E13" s="554">
        <f t="shared" si="4"/>
        <v>49.166666666666671</v>
      </c>
      <c r="F13" s="554">
        <v>59</v>
      </c>
      <c r="G13" s="554">
        <f t="shared" si="5"/>
        <v>36.049999999999997</v>
      </c>
      <c r="H13" s="555">
        <v>43.26</v>
      </c>
      <c r="I13" s="556">
        <f>64.68/1.2</f>
        <v>53.900000000000006</v>
      </c>
      <c r="J13" s="555">
        <v>64.680000000000007</v>
      </c>
      <c r="K13" s="551" t="s">
        <v>217</v>
      </c>
      <c r="L13" s="552">
        <f t="shared" si="6"/>
        <v>11.096744267276479</v>
      </c>
      <c r="M13" s="553">
        <f t="shared" si="7"/>
        <v>0.19941435726506193</v>
      </c>
      <c r="N13" s="554">
        <f t="shared" si="0"/>
        <v>46.372222222222227</v>
      </c>
      <c r="O13" s="554">
        <f t="shared" si="1"/>
        <v>55.646666666666668</v>
      </c>
      <c r="P13" s="554">
        <f t="shared" si="2"/>
        <v>1159.3055555555557</v>
      </c>
      <c r="Q13" s="554">
        <f t="shared" si="3"/>
        <v>1391.1666666666667</v>
      </c>
    </row>
    <row r="14" spans="1:17" s="535" customFormat="1" ht="51.75" thickBot="1" x14ac:dyDescent="0.3">
      <c r="A14" s="529" t="s">
        <v>152</v>
      </c>
      <c r="B14" s="616" t="s">
        <v>173</v>
      </c>
      <c r="C14" s="541" t="s">
        <v>206</v>
      </c>
      <c r="D14" s="542">
        <v>144</v>
      </c>
      <c r="E14" s="554">
        <f t="shared" si="4"/>
        <v>4.2416666666666671</v>
      </c>
      <c r="F14" s="554">
        <v>5.09</v>
      </c>
      <c r="G14" s="554">
        <f t="shared" si="5"/>
        <v>4.6416666666666675</v>
      </c>
      <c r="H14" s="555">
        <v>5.57</v>
      </c>
      <c r="I14" s="555">
        <v>5.6</v>
      </c>
      <c r="J14" s="556">
        <f>5.6*1.2</f>
        <v>6.72</v>
      </c>
      <c r="K14" s="551" t="s">
        <v>218</v>
      </c>
      <c r="L14" s="552">
        <f t="shared" si="6"/>
        <v>0.83763556116806137</v>
      </c>
      <c r="M14" s="553">
        <f t="shared" si="7"/>
        <v>0.14458611527642026</v>
      </c>
      <c r="N14" s="554">
        <f t="shared" si="0"/>
        <v>4.8277777777777784</v>
      </c>
      <c r="O14" s="554">
        <f t="shared" si="1"/>
        <v>5.793333333333333</v>
      </c>
      <c r="P14" s="554">
        <f t="shared" si="2"/>
        <v>695.2</v>
      </c>
      <c r="Q14" s="554">
        <f t="shared" si="3"/>
        <v>834.24</v>
      </c>
    </row>
    <row r="15" spans="1:17" s="535" customFormat="1" ht="51.75" thickBot="1" x14ac:dyDescent="0.3">
      <c r="A15" s="529" t="s">
        <v>153</v>
      </c>
      <c r="B15" s="616" t="s">
        <v>174</v>
      </c>
      <c r="C15" s="541" t="s">
        <v>206</v>
      </c>
      <c r="D15" s="542">
        <v>144</v>
      </c>
      <c r="E15" s="554">
        <f t="shared" si="4"/>
        <v>6.9916666666666671</v>
      </c>
      <c r="F15" s="554">
        <v>8.39</v>
      </c>
      <c r="G15" s="554">
        <f t="shared" si="5"/>
        <v>7.6583333333333332</v>
      </c>
      <c r="H15" s="555">
        <v>9.19</v>
      </c>
      <c r="I15" s="555">
        <v>8.92</v>
      </c>
      <c r="J15" s="556">
        <f>8.92*1.2</f>
        <v>10.703999999999999</v>
      </c>
      <c r="K15" s="551" t="s">
        <v>219</v>
      </c>
      <c r="L15" s="552">
        <f t="shared" si="6"/>
        <v>1.1752157248777766</v>
      </c>
      <c r="M15" s="553">
        <f t="shared" si="7"/>
        <v>0.12465164667774467</v>
      </c>
      <c r="N15" s="554">
        <f t="shared" si="0"/>
        <v>7.8566666666666665</v>
      </c>
      <c r="O15" s="554">
        <f t="shared" si="1"/>
        <v>9.427999999999999</v>
      </c>
      <c r="P15" s="554">
        <f t="shared" si="2"/>
        <v>1131.3599999999999</v>
      </c>
      <c r="Q15" s="554">
        <f t="shared" si="3"/>
        <v>1357.6319999999998</v>
      </c>
    </row>
    <row r="16" spans="1:17" s="535" customFormat="1" ht="51.75" thickBot="1" x14ac:dyDescent="0.3">
      <c r="A16" s="529" t="s">
        <v>255</v>
      </c>
      <c r="B16" s="616" t="s">
        <v>175</v>
      </c>
      <c r="C16" s="541" t="s">
        <v>206</v>
      </c>
      <c r="D16" s="542">
        <v>144</v>
      </c>
      <c r="E16" s="554">
        <f t="shared" si="4"/>
        <v>9.875</v>
      </c>
      <c r="F16" s="554">
        <v>11.85</v>
      </c>
      <c r="G16" s="554">
        <f t="shared" si="5"/>
        <v>10.808333333333334</v>
      </c>
      <c r="H16" s="555">
        <v>12.97</v>
      </c>
      <c r="I16" s="558">
        <f>13.28/1.2</f>
        <v>11.066666666666666</v>
      </c>
      <c r="J16" s="555">
        <v>13.28</v>
      </c>
      <c r="K16" s="551" t="s">
        <v>220</v>
      </c>
      <c r="L16" s="552">
        <f t="shared" si="6"/>
        <v>0.75226325179421072</v>
      </c>
      <c r="M16" s="553">
        <f t="shared" si="7"/>
        <v>5.9233326912929971E-2</v>
      </c>
      <c r="N16" s="554">
        <f t="shared" si="0"/>
        <v>10.583333333333334</v>
      </c>
      <c r="O16" s="554">
        <f t="shared" si="1"/>
        <v>12.700000000000001</v>
      </c>
      <c r="P16" s="554">
        <f t="shared" si="2"/>
        <v>1524</v>
      </c>
      <c r="Q16" s="554">
        <f t="shared" si="3"/>
        <v>1828.8000000000002</v>
      </c>
    </row>
    <row r="17" spans="1:17" s="535" customFormat="1" ht="51.75" thickBot="1" x14ac:dyDescent="0.3">
      <c r="A17" s="529" t="s">
        <v>205</v>
      </c>
      <c r="B17" s="616" t="s">
        <v>176</v>
      </c>
      <c r="C17" s="541" t="s">
        <v>206</v>
      </c>
      <c r="D17" s="542">
        <v>144</v>
      </c>
      <c r="E17" s="554">
        <f t="shared" si="4"/>
        <v>14.991666666666665</v>
      </c>
      <c r="F17" s="554">
        <v>17.989999999999998</v>
      </c>
      <c r="G17" s="554">
        <f t="shared" si="5"/>
        <v>16.400000000000002</v>
      </c>
      <c r="H17" s="555">
        <v>19.68</v>
      </c>
      <c r="I17" s="558">
        <v>18.96</v>
      </c>
      <c r="J17" s="556">
        <f>18.96*1.2</f>
        <v>22.751999999999999</v>
      </c>
      <c r="K17" s="551" t="s">
        <v>221</v>
      </c>
      <c r="L17" s="552">
        <f t="shared" si="6"/>
        <v>2.414191652154678</v>
      </c>
      <c r="M17" s="553">
        <f t="shared" si="7"/>
        <v>0.11986652140717015</v>
      </c>
      <c r="N17" s="554">
        <f t="shared" si="0"/>
        <v>16.783888888888889</v>
      </c>
      <c r="O17" s="554">
        <f t="shared" si="1"/>
        <v>20.140666666666664</v>
      </c>
      <c r="P17" s="554">
        <f t="shared" si="2"/>
        <v>2416.88</v>
      </c>
      <c r="Q17" s="554">
        <f t="shared" si="3"/>
        <v>2900.2559999999999</v>
      </c>
    </row>
    <row r="18" spans="1:17" s="535" customFormat="1" ht="51.75" thickBot="1" x14ac:dyDescent="0.3">
      <c r="A18" s="529" t="s">
        <v>256</v>
      </c>
      <c r="B18" s="616" t="s">
        <v>177</v>
      </c>
      <c r="C18" s="541" t="s">
        <v>206</v>
      </c>
      <c r="D18" s="542">
        <v>20</v>
      </c>
      <c r="E18" s="554">
        <f t="shared" si="4"/>
        <v>8.0250000000000004</v>
      </c>
      <c r="F18" s="554">
        <v>9.6300000000000008</v>
      </c>
      <c r="G18" s="554">
        <f t="shared" si="5"/>
        <v>8.7833333333333332</v>
      </c>
      <c r="H18" s="555">
        <v>10.54</v>
      </c>
      <c r="I18" s="555">
        <v>15.97</v>
      </c>
      <c r="J18" s="555">
        <f>15.97*1.2</f>
        <v>19.164000000000001</v>
      </c>
      <c r="K18" s="551" t="s">
        <v>222</v>
      </c>
      <c r="L18" s="552">
        <f t="shared" si="6"/>
        <v>5.2614736845615164</v>
      </c>
      <c r="M18" s="553">
        <f t="shared" si="7"/>
        <v>0.40129203878793279</v>
      </c>
      <c r="N18" s="554">
        <f t="shared" si="0"/>
        <v>10.926111111111112</v>
      </c>
      <c r="O18" s="554">
        <f t="shared" si="1"/>
        <v>13.111333333333334</v>
      </c>
      <c r="P18" s="554">
        <f t="shared" si="2"/>
        <v>218.52222222222224</v>
      </c>
      <c r="Q18" s="554">
        <f t="shared" si="3"/>
        <v>262.22666666666669</v>
      </c>
    </row>
    <row r="19" spans="1:17" s="535" customFormat="1" ht="51.75" thickBot="1" x14ac:dyDescent="0.3">
      <c r="A19" s="529" t="s">
        <v>257</v>
      </c>
      <c r="B19" s="616" t="s">
        <v>178</v>
      </c>
      <c r="C19" s="541" t="s">
        <v>206</v>
      </c>
      <c r="D19" s="542">
        <v>2</v>
      </c>
      <c r="E19" s="554">
        <f t="shared" si="4"/>
        <v>38.466666666666669</v>
      </c>
      <c r="F19" s="554">
        <v>46.16</v>
      </c>
      <c r="G19" s="554">
        <f t="shared" si="5"/>
        <v>42.091666666666669</v>
      </c>
      <c r="H19" s="555">
        <v>50.51</v>
      </c>
      <c r="I19" s="555">
        <v>58.83</v>
      </c>
      <c r="J19" s="556">
        <f>58.83*1.2</f>
        <v>70.595999999999989</v>
      </c>
      <c r="K19" s="551" t="s">
        <v>223</v>
      </c>
      <c r="L19" s="552">
        <f t="shared" si="6"/>
        <v>13.035131964553837</v>
      </c>
      <c r="M19" s="553">
        <f t="shared" si="7"/>
        <v>0.23379166055062908</v>
      </c>
      <c r="N19" s="554">
        <f t="shared" si="0"/>
        <v>46.462777777777774</v>
      </c>
      <c r="O19" s="554">
        <f t="shared" si="1"/>
        <v>55.755333333333319</v>
      </c>
      <c r="P19" s="554">
        <f t="shared" si="2"/>
        <v>92.925555555555547</v>
      </c>
      <c r="Q19" s="554">
        <f t="shared" si="3"/>
        <v>111.51066666666664</v>
      </c>
    </row>
    <row r="20" spans="1:17" s="535" customFormat="1" ht="51.75" thickBot="1" x14ac:dyDescent="0.3">
      <c r="A20" s="529" t="s">
        <v>258</v>
      </c>
      <c r="B20" s="616" t="s">
        <v>179</v>
      </c>
      <c r="C20" s="541" t="s">
        <v>206</v>
      </c>
      <c r="D20" s="542">
        <v>20</v>
      </c>
      <c r="E20" s="554">
        <f t="shared" si="4"/>
        <v>68.150000000000006</v>
      </c>
      <c r="F20" s="554">
        <v>81.78</v>
      </c>
      <c r="G20" s="554">
        <f t="shared" si="5"/>
        <v>74.599999999999994</v>
      </c>
      <c r="H20" s="555">
        <v>89.52</v>
      </c>
      <c r="I20" s="555">
        <v>85.6</v>
      </c>
      <c r="J20" s="556">
        <f>85.6*1.2</f>
        <v>102.71999999999998</v>
      </c>
      <c r="K20" s="551" t="s">
        <v>222</v>
      </c>
      <c r="L20" s="552">
        <f t="shared" si="6"/>
        <v>10.587974310509061</v>
      </c>
      <c r="M20" s="553">
        <f t="shared" si="7"/>
        <v>0.11591826484025687</v>
      </c>
      <c r="N20" s="554">
        <f t="shared" si="0"/>
        <v>76.11666666666666</v>
      </c>
      <c r="O20" s="554">
        <f t="shared" si="1"/>
        <v>91.339999999999989</v>
      </c>
      <c r="P20" s="554">
        <f t="shared" si="2"/>
        <v>1522.3333333333333</v>
      </c>
      <c r="Q20" s="554">
        <f t="shared" si="3"/>
        <v>1826.7999999999997</v>
      </c>
    </row>
    <row r="21" spans="1:17" s="535" customFormat="1" ht="51.75" thickBot="1" x14ac:dyDescent="0.3">
      <c r="A21" s="529" t="s">
        <v>259</v>
      </c>
      <c r="B21" s="616" t="s">
        <v>180</v>
      </c>
      <c r="C21" s="541" t="s">
        <v>206</v>
      </c>
      <c r="D21" s="542">
        <v>4</v>
      </c>
      <c r="E21" s="554">
        <f t="shared" si="4"/>
        <v>23.316666666666666</v>
      </c>
      <c r="F21" s="554">
        <v>27.98</v>
      </c>
      <c r="G21" s="554">
        <f t="shared" si="5"/>
        <v>25.508333333333333</v>
      </c>
      <c r="H21" s="555">
        <v>30.61</v>
      </c>
      <c r="I21" s="555">
        <f>32.67/1.2</f>
        <v>27.225000000000001</v>
      </c>
      <c r="J21" s="556">
        <v>32.67</v>
      </c>
      <c r="K21" s="551" t="s">
        <v>224</v>
      </c>
      <c r="L21" s="552">
        <f t="shared" si="6"/>
        <v>2.350765832659647</v>
      </c>
      <c r="M21" s="553">
        <f t="shared" si="7"/>
        <v>7.7276983322144874E-2</v>
      </c>
      <c r="N21" s="554">
        <f t="shared" si="0"/>
        <v>25.350000000000005</v>
      </c>
      <c r="O21" s="554">
        <f t="shared" si="1"/>
        <v>30.42</v>
      </c>
      <c r="P21" s="554">
        <f t="shared" si="2"/>
        <v>101.40000000000002</v>
      </c>
      <c r="Q21" s="554">
        <f t="shared" si="3"/>
        <v>121.68</v>
      </c>
    </row>
    <row r="22" spans="1:17" s="535" customFormat="1" ht="51.75" thickBot="1" x14ac:dyDescent="0.3">
      <c r="A22" s="529" t="s">
        <v>260</v>
      </c>
      <c r="B22" s="616" t="s">
        <v>181</v>
      </c>
      <c r="C22" s="541" t="s">
        <v>206</v>
      </c>
      <c r="D22" s="542">
        <v>15</v>
      </c>
      <c r="E22" s="554">
        <f t="shared" si="4"/>
        <v>53.641666666666673</v>
      </c>
      <c r="F22" s="554">
        <v>64.37</v>
      </c>
      <c r="G22" s="554">
        <f t="shared" si="5"/>
        <v>58.716666666666661</v>
      </c>
      <c r="H22" s="555">
        <v>70.459999999999994</v>
      </c>
      <c r="I22" s="555">
        <f>77/1.2</f>
        <v>64.166666666666671</v>
      </c>
      <c r="J22" s="556">
        <v>77</v>
      </c>
      <c r="K22" s="551" t="s">
        <v>225</v>
      </c>
      <c r="L22" s="552">
        <f t="shared" si="6"/>
        <v>6.3163359631989158</v>
      </c>
      <c r="M22" s="553">
        <f t="shared" si="7"/>
        <v>8.9453844543250477E-2</v>
      </c>
      <c r="N22" s="554">
        <f t="shared" si="0"/>
        <v>58.841666666666669</v>
      </c>
      <c r="O22" s="554">
        <f t="shared" si="1"/>
        <v>70.61</v>
      </c>
      <c r="P22" s="554">
        <f t="shared" si="2"/>
        <v>882.625</v>
      </c>
      <c r="Q22" s="554">
        <f t="shared" si="3"/>
        <v>1059.1500000000001</v>
      </c>
    </row>
    <row r="23" spans="1:17" s="535" customFormat="1" ht="51.75" thickBot="1" x14ac:dyDescent="0.3">
      <c r="A23" s="529" t="s">
        <v>261</v>
      </c>
      <c r="B23" s="616" t="s">
        <v>182</v>
      </c>
      <c r="C23" s="541" t="s">
        <v>206</v>
      </c>
      <c r="D23" s="542">
        <v>6</v>
      </c>
      <c r="E23" s="554">
        <f t="shared" si="4"/>
        <v>98.691666666666677</v>
      </c>
      <c r="F23" s="554">
        <v>118.43</v>
      </c>
      <c r="G23" s="554">
        <f t="shared" si="5"/>
        <v>108.00833333333335</v>
      </c>
      <c r="H23" s="555">
        <v>129.61000000000001</v>
      </c>
      <c r="I23" s="555">
        <f>J23/1.2</f>
        <v>100.3</v>
      </c>
      <c r="J23" s="556">
        <v>120.36</v>
      </c>
      <c r="K23" s="551" t="s">
        <v>226</v>
      </c>
      <c r="L23" s="552">
        <f t="shared" si="6"/>
        <v>5.9760605753288729</v>
      </c>
      <c r="M23" s="553">
        <f t="shared" si="7"/>
        <v>4.8664988398443583E-2</v>
      </c>
      <c r="N23" s="554">
        <f t="shared" si="0"/>
        <v>102.33333333333336</v>
      </c>
      <c r="O23" s="554">
        <f t="shared" si="1"/>
        <v>122.80000000000001</v>
      </c>
      <c r="P23" s="554">
        <f t="shared" si="2"/>
        <v>614.00000000000011</v>
      </c>
      <c r="Q23" s="554">
        <f t="shared" si="3"/>
        <v>736.80000000000007</v>
      </c>
    </row>
    <row r="24" spans="1:17" s="535" customFormat="1" ht="79.5" thickBot="1" x14ac:dyDescent="0.3">
      <c r="A24" s="529" t="s">
        <v>262</v>
      </c>
      <c r="B24" s="616" t="s">
        <v>183</v>
      </c>
      <c r="C24" s="541" t="s">
        <v>206</v>
      </c>
      <c r="D24" s="542">
        <v>20</v>
      </c>
      <c r="E24" s="554">
        <f t="shared" si="4"/>
        <v>177.64166666666665</v>
      </c>
      <c r="F24" s="554">
        <v>213.17</v>
      </c>
      <c r="G24" s="554">
        <f t="shared" si="5"/>
        <v>194.43333333333334</v>
      </c>
      <c r="H24" s="555">
        <v>233.32</v>
      </c>
      <c r="I24" s="555">
        <v>247.8</v>
      </c>
      <c r="J24" s="556">
        <f>247.8*1.2</f>
        <v>297.36</v>
      </c>
      <c r="K24" s="551" t="s">
        <v>227</v>
      </c>
      <c r="L24" s="552">
        <f t="shared" si="6"/>
        <v>43.960399224756834</v>
      </c>
      <c r="M24" s="553">
        <f t="shared" si="7"/>
        <v>0.1772954193375956</v>
      </c>
      <c r="N24" s="554">
        <f t="shared" si="0"/>
        <v>206.625</v>
      </c>
      <c r="O24" s="554">
        <f t="shared" si="1"/>
        <v>247.95000000000002</v>
      </c>
      <c r="P24" s="554">
        <f t="shared" si="2"/>
        <v>4132.5</v>
      </c>
      <c r="Q24" s="554">
        <f t="shared" si="3"/>
        <v>4959</v>
      </c>
    </row>
    <row r="25" spans="1:17" s="535" customFormat="1" ht="51.75" thickBot="1" x14ac:dyDescent="0.3">
      <c r="A25" s="529" t="s">
        <v>263</v>
      </c>
      <c r="B25" s="616" t="s">
        <v>184</v>
      </c>
      <c r="C25" s="541" t="s">
        <v>206</v>
      </c>
      <c r="D25" s="542">
        <v>20</v>
      </c>
      <c r="E25" s="554">
        <f t="shared" si="4"/>
        <v>25.141666666666669</v>
      </c>
      <c r="F25" s="554">
        <v>30.17</v>
      </c>
      <c r="G25" s="554">
        <f t="shared" si="5"/>
        <v>27.508333333333333</v>
      </c>
      <c r="H25" s="555">
        <v>33.01</v>
      </c>
      <c r="I25" s="555">
        <v>36</v>
      </c>
      <c r="J25" s="556">
        <f>36*1.2</f>
        <v>43.199999999999996</v>
      </c>
      <c r="K25" s="551" t="s">
        <v>228</v>
      </c>
      <c r="L25" s="552">
        <f t="shared" si="6"/>
        <v>6.8517953851527089</v>
      </c>
      <c r="M25" s="553">
        <f t="shared" si="7"/>
        <v>0.19322604019043171</v>
      </c>
      <c r="N25" s="554">
        <f t="shared" si="0"/>
        <v>29.55</v>
      </c>
      <c r="O25" s="554">
        <f t="shared" si="1"/>
        <v>35.46</v>
      </c>
      <c r="P25" s="554">
        <f t="shared" si="2"/>
        <v>591</v>
      </c>
      <c r="Q25" s="554">
        <f t="shared" si="3"/>
        <v>709.2</v>
      </c>
    </row>
    <row r="26" spans="1:17" s="535" customFormat="1" ht="51.75" thickBot="1" x14ac:dyDescent="0.3">
      <c r="A26" s="529" t="s">
        <v>94</v>
      </c>
      <c r="B26" s="616" t="s">
        <v>185</v>
      </c>
      <c r="C26" s="541" t="s">
        <v>206</v>
      </c>
      <c r="D26" s="542">
        <v>10</v>
      </c>
      <c r="E26" s="554">
        <f t="shared" si="4"/>
        <v>10.250000000000002</v>
      </c>
      <c r="F26" s="554">
        <v>12.3</v>
      </c>
      <c r="G26" s="554">
        <f t="shared" si="5"/>
        <v>11.216666666666669</v>
      </c>
      <c r="H26" s="555">
        <v>13.46</v>
      </c>
      <c r="I26" s="555">
        <v>14.03</v>
      </c>
      <c r="J26" s="556">
        <f>14.03*1.2</f>
        <v>16.835999999999999</v>
      </c>
      <c r="K26" s="551" t="s">
        <v>229</v>
      </c>
      <c r="L26" s="552">
        <f t="shared" si="6"/>
        <v>2.3564900452438429</v>
      </c>
      <c r="M26" s="553">
        <f t="shared" si="7"/>
        <v>0.16596558680936069</v>
      </c>
      <c r="N26" s="554">
        <f t="shared" si="0"/>
        <v>11.832222222222223</v>
      </c>
      <c r="O26" s="554">
        <f t="shared" si="1"/>
        <v>14.198666666666668</v>
      </c>
      <c r="P26" s="554">
        <f t="shared" si="2"/>
        <v>118.32222222222222</v>
      </c>
      <c r="Q26" s="554">
        <f t="shared" si="3"/>
        <v>141.98666666666668</v>
      </c>
    </row>
    <row r="27" spans="1:17" s="535" customFormat="1" ht="51.75" thickBot="1" x14ac:dyDescent="0.3">
      <c r="A27" s="529" t="s">
        <v>264</v>
      </c>
      <c r="B27" s="616" t="s">
        <v>186</v>
      </c>
      <c r="C27" s="541" t="s">
        <v>206</v>
      </c>
      <c r="D27" s="542">
        <v>100</v>
      </c>
      <c r="E27" s="554">
        <f t="shared" si="4"/>
        <v>22.35</v>
      </c>
      <c r="F27" s="554">
        <v>26.82</v>
      </c>
      <c r="G27" s="554">
        <f t="shared" si="5"/>
        <v>24.458333333333336</v>
      </c>
      <c r="H27" s="555">
        <v>29.35</v>
      </c>
      <c r="I27" s="555">
        <v>30.1</v>
      </c>
      <c r="J27" s="556">
        <f>30.1*1.2</f>
        <v>36.119999999999997</v>
      </c>
      <c r="K27" s="551" t="s">
        <v>230</v>
      </c>
      <c r="L27" s="552">
        <f t="shared" si="6"/>
        <v>4.8083919696020327</v>
      </c>
      <c r="M27" s="553">
        <f t="shared" si="7"/>
        <v>0.15630269702899663</v>
      </c>
      <c r="N27" s="554">
        <f t="shared" si="0"/>
        <v>25.636111111111109</v>
      </c>
      <c r="O27" s="554">
        <f t="shared" si="1"/>
        <v>30.763333333333332</v>
      </c>
      <c r="P27" s="554">
        <f t="shared" si="2"/>
        <v>2563.6111111111109</v>
      </c>
      <c r="Q27" s="554">
        <f t="shared" si="3"/>
        <v>3076.333333333333</v>
      </c>
    </row>
    <row r="28" spans="1:17" s="535" customFormat="1" ht="51.75" thickBot="1" x14ac:dyDescent="0.3">
      <c r="A28" s="529" t="s">
        <v>265</v>
      </c>
      <c r="B28" s="616" t="s">
        <v>187</v>
      </c>
      <c r="C28" s="541" t="s">
        <v>206</v>
      </c>
      <c r="D28" s="542">
        <v>168</v>
      </c>
      <c r="E28" s="554">
        <f t="shared" si="4"/>
        <v>27.591666666666669</v>
      </c>
      <c r="F28" s="554">
        <v>33.11</v>
      </c>
      <c r="G28" s="554">
        <f t="shared" si="5"/>
        <v>30.191666666666666</v>
      </c>
      <c r="H28" s="555">
        <v>36.229999999999997</v>
      </c>
      <c r="I28" s="555">
        <v>41.67</v>
      </c>
      <c r="J28" s="556">
        <f>I28*1.2</f>
        <v>50.003999999999998</v>
      </c>
      <c r="K28" s="551" t="s">
        <v>231</v>
      </c>
      <c r="L28" s="552">
        <f t="shared" si="6"/>
        <v>8.9894819279718963</v>
      </c>
      <c r="M28" s="553">
        <f t="shared" si="7"/>
        <v>0.2259723637880052</v>
      </c>
      <c r="N28" s="554">
        <f t="shared" si="0"/>
        <v>33.151111111111113</v>
      </c>
      <c r="O28" s="554">
        <f t="shared" si="1"/>
        <v>39.781333333333329</v>
      </c>
      <c r="P28" s="554">
        <f t="shared" si="2"/>
        <v>5569.3866666666672</v>
      </c>
      <c r="Q28" s="554">
        <f t="shared" si="3"/>
        <v>6683.2639999999992</v>
      </c>
    </row>
    <row r="29" spans="1:17" s="535" customFormat="1" ht="51.75" thickBot="1" x14ac:dyDescent="0.3">
      <c r="A29" s="529" t="s">
        <v>266</v>
      </c>
      <c r="B29" s="616" t="s">
        <v>188</v>
      </c>
      <c r="C29" s="541" t="s">
        <v>206</v>
      </c>
      <c r="D29" s="542">
        <v>4</v>
      </c>
      <c r="E29" s="554">
        <f t="shared" si="4"/>
        <v>65.900000000000006</v>
      </c>
      <c r="F29" s="554">
        <v>79.08</v>
      </c>
      <c r="G29" s="554">
        <f t="shared" si="5"/>
        <v>72.125</v>
      </c>
      <c r="H29" s="555">
        <v>86.55</v>
      </c>
      <c r="I29" s="555">
        <v>84.5</v>
      </c>
      <c r="J29" s="556">
        <f>84.5*1.2</f>
        <v>101.39999999999999</v>
      </c>
      <c r="K29" s="551" t="s">
        <v>232</v>
      </c>
      <c r="L29" s="552">
        <f t="shared" si="6"/>
        <v>11.36152718607846</v>
      </c>
      <c r="M29" s="553">
        <f t="shared" si="7"/>
        <v>0.12764326689224201</v>
      </c>
      <c r="N29" s="554">
        <f t="shared" si="0"/>
        <v>74.174999999999997</v>
      </c>
      <c r="O29" s="554">
        <f t="shared" si="1"/>
        <v>89.009999999999991</v>
      </c>
      <c r="P29" s="554">
        <f t="shared" si="2"/>
        <v>296.7</v>
      </c>
      <c r="Q29" s="554">
        <f t="shared" si="3"/>
        <v>356.03999999999996</v>
      </c>
    </row>
    <row r="30" spans="1:17" s="535" customFormat="1" ht="51.75" thickBot="1" x14ac:dyDescent="0.3">
      <c r="A30" s="529" t="s">
        <v>267</v>
      </c>
      <c r="B30" s="616" t="s">
        <v>189</v>
      </c>
      <c r="C30" s="541" t="s">
        <v>206</v>
      </c>
      <c r="D30" s="542">
        <v>25</v>
      </c>
      <c r="E30" s="554">
        <f t="shared" si="4"/>
        <v>11.441666666666668</v>
      </c>
      <c r="F30" s="554">
        <v>13.73</v>
      </c>
      <c r="G30" s="554">
        <f t="shared" si="5"/>
        <v>12.525</v>
      </c>
      <c r="H30" s="555">
        <v>15.03</v>
      </c>
      <c r="I30" s="555">
        <v>18.11</v>
      </c>
      <c r="J30" s="556">
        <f>18.11*1.2</f>
        <v>21.731999999999999</v>
      </c>
      <c r="K30" s="551" t="s">
        <v>233</v>
      </c>
      <c r="L30" s="552">
        <f t="shared" si="6"/>
        <v>4.2941589785816419</v>
      </c>
      <c r="M30" s="553">
        <f t="shared" si="7"/>
        <v>0.2551389712379174</v>
      </c>
      <c r="N30" s="554">
        <f t="shared" si="0"/>
        <v>14.025555555555556</v>
      </c>
      <c r="O30" s="554">
        <f t="shared" si="1"/>
        <v>16.830666666666666</v>
      </c>
      <c r="P30" s="554">
        <f t="shared" si="2"/>
        <v>350.63888888888891</v>
      </c>
      <c r="Q30" s="554">
        <f t="shared" si="3"/>
        <v>420.76666666666665</v>
      </c>
    </row>
    <row r="31" spans="1:17" s="535" customFormat="1" ht="51.75" thickBot="1" x14ac:dyDescent="0.3">
      <c r="A31" s="529" t="s">
        <v>268</v>
      </c>
      <c r="B31" s="616" t="s">
        <v>190</v>
      </c>
      <c r="C31" s="541" t="s">
        <v>206</v>
      </c>
      <c r="D31" s="542">
        <v>25</v>
      </c>
      <c r="E31" s="554">
        <f t="shared" si="4"/>
        <v>21.891666666666666</v>
      </c>
      <c r="F31" s="554">
        <v>26.27</v>
      </c>
      <c r="G31" s="554">
        <f t="shared" si="5"/>
        <v>99.800000000000011</v>
      </c>
      <c r="H31" s="555">
        <v>119.76</v>
      </c>
      <c r="I31" s="555">
        <v>29.35</v>
      </c>
      <c r="J31" s="556">
        <f>29.35*1.2</f>
        <v>35.22</v>
      </c>
      <c r="K31" s="551" t="s">
        <v>234</v>
      </c>
      <c r="L31" s="552">
        <f t="shared" si="6"/>
        <v>51.587295270573485</v>
      </c>
      <c r="M31" s="553">
        <f t="shared" si="7"/>
        <v>0.8538586803405267</v>
      </c>
      <c r="N31" s="554">
        <f t="shared" si="0"/>
        <v>50.347222222222229</v>
      </c>
      <c r="O31" s="554">
        <f t="shared" si="1"/>
        <v>60.416666666666664</v>
      </c>
      <c r="P31" s="554">
        <f t="shared" si="2"/>
        <v>1258.6805555555557</v>
      </c>
      <c r="Q31" s="554">
        <f t="shared" si="3"/>
        <v>1510.4166666666665</v>
      </c>
    </row>
    <row r="32" spans="1:17" s="535" customFormat="1" ht="51.75" thickBot="1" x14ac:dyDescent="0.3">
      <c r="A32" s="529" t="s">
        <v>269</v>
      </c>
      <c r="B32" s="616" t="s">
        <v>191</v>
      </c>
      <c r="C32" s="541" t="s">
        <v>207</v>
      </c>
      <c r="D32" s="542">
        <v>1</v>
      </c>
      <c r="E32" s="554">
        <f t="shared" si="4"/>
        <v>110.05000000000001</v>
      </c>
      <c r="F32" s="554">
        <v>132.06</v>
      </c>
      <c r="G32" s="554">
        <f t="shared" si="5"/>
        <v>120.45</v>
      </c>
      <c r="H32" s="555">
        <v>144.54</v>
      </c>
      <c r="I32" s="555">
        <f>J32/1.2</f>
        <v>130</v>
      </c>
      <c r="J32" s="556">
        <v>156</v>
      </c>
      <c r="K32" s="551" t="s">
        <v>235</v>
      </c>
      <c r="L32" s="552">
        <f t="shared" si="6"/>
        <v>11.973621006195243</v>
      </c>
      <c r="M32" s="553">
        <f t="shared" si="7"/>
        <v>8.3034819737831084E-2</v>
      </c>
      <c r="N32" s="554">
        <f t="shared" si="0"/>
        <v>120.16666666666667</v>
      </c>
      <c r="O32" s="554">
        <f t="shared" si="1"/>
        <v>144.20000000000002</v>
      </c>
      <c r="P32" s="554">
        <f t="shared" si="2"/>
        <v>120.16666666666667</v>
      </c>
      <c r="Q32" s="554">
        <f t="shared" si="3"/>
        <v>144.20000000000002</v>
      </c>
    </row>
    <row r="33" spans="1:17" s="535" customFormat="1" ht="51.75" thickBot="1" x14ac:dyDescent="0.3">
      <c r="A33" s="529" t="s">
        <v>270</v>
      </c>
      <c r="B33" s="616" t="s">
        <v>192</v>
      </c>
      <c r="C33" s="541" t="s">
        <v>207</v>
      </c>
      <c r="D33" s="542">
        <v>15</v>
      </c>
      <c r="E33" s="554">
        <f t="shared" si="4"/>
        <v>40.85</v>
      </c>
      <c r="F33" s="554">
        <v>49.02</v>
      </c>
      <c r="G33" s="554">
        <f t="shared" si="5"/>
        <v>44.716666666666669</v>
      </c>
      <c r="H33" s="555">
        <v>53.66</v>
      </c>
      <c r="I33" s="555">
        <v>52.98</v>
      </c>
      <c r="J33" s="556">
        <f>52.98*1.2</f>
        <v>63.575999999999993</v>
      </c>
      <c r="K33" s="551" t="s">
        <v>236</v>
      </c>
      <c r="L33" s="552">
        <f t="shared" si="6"/>
        <v>7.435655003651882</v>
      </c>
      <c r="M33" s="553">
        <f t="shared" si="7"/>
        <v>0.13417239083675564</v>
      </c>
      <c r="N33" s="554">
        <f t="shared" si="0"/>
        <v>46.182222222222215</v>
      </c>
      <c r="O33" s="554">
        <f t="shared" si="1"/>
        <v>55.418666666666667</v>
      </c>
      <c r="P33" s="554">
        <f t="shared" si="2"/>
        <v>692.73333333333323</v>
      </c>
      <c r="Q33" s="554">
        <f t="shared" si="3"/>
        <v>831.28</v>
      </c>
    </row>
    <row r="34" spans="1:17" s="535" customFormat="1" ht="51.75" thickBot="1" x14ac:dyDescent="0.3">
      <c r="A34" s="529" t="s">
        <v>271</v>
      </c>
      <c r="B34" s="616" t="s">
        <v>193</v>
      </c>
      <c r="C34" s="541" t="s">
        <v>207</v>
      </c>
      <c r="D34" s="542">
        <v>5</v>
      </c>
      <c r="E34" s="554">
        <f t="shared" si="4"/>
        <v>61.566666666666663</v>
      </c>
      <c r="F34" s="554">
        <v>73.88</v>
      </c>
      <c r="G34" s="554">
        <f t="shared" si="5"/>
        <v>67.375</v>
      </c>
      <c r="H34" s="555">
        <v>80.849999999999994</v>
      </c>
      <c r="I34" s="555">
        <v>90</v>
      </c>
      <c r="J34" s="556">
        <f>90*1.2</f>
        <v>108</v>
      </c>
      <c r="K34" s="551" t="s">
        <v>238</v>
      </c>
      <c r="L34" s="552">
        <f t="shared" si="6"/>
        <v>18.027191498770225</v>
      </c>
      <c r="M34" s="553">
        <f t="shared" si="7"/>
        <v>0.20584468654630486</v>
      </c>
      <c r="N34" s="554">
        <f t="shared" si="0"/>
        <v>72.980555555555554</v>
      </c>
      <c r="O34" s="554">
        <f t="shared" si="1"/>
        <v>87.576666666666668</v>
      </c>
      <c r="P34" s="554">
        <f t="shared" si="2"/>
        <v>364.90277777777777</v>
      </c>
      <c r="Q34" s="554">
        <f t="shared" si="3"/>
        <v>437.88333333333333</v>
      </c>
    </row>
    <row r="35" spans="1:17" s="535" customFormat="1" ht="51.75" thickBot="1" x14ac:dyDescent="0.3">
      <c r="A35" s="529" t="s">
        <v>272</v>
      </c>
      <c r="B35" s="616" t="s">
        <v>194</v>
      </c>
      <c r="C35" s="541" t="s">
        <v>206</v>
      </c>
      <c r="D35" s="542">
        <v>5</v>
      </c>
      <c r="E35" s="554">
        <f t="shared" si="4"/>
        <v>43.741666666666667</v>
      </c>
      <c r="F35" s="554">
        <v>52.49</v>
      </c>
      <c r="G35" s="554">
        <f t="shared" si="5"/>
        <v>47.866666666666667</v>
      </c>
      <c r="H35" s="555">
        <v>57.44</v>
      </c>
      <c r="I35" s="555">
        <v>45.12</v>
      </c>
      <c r="J35" s="556">
        <f>45.12*1.2</f>
        <v>54.143999999999998</v>
      </c>
      <c r="K35" s="551" t="s">
        <v>237</v>
      </c>
      <c r="L35" s="552">
        <f t="shared" si="6"/>
        <v>2.5199812168612139</v>
      </c>
      <c r="M35" s="553">
        <f t="shared" si="7"/>
        <v>4.6076426798783723E-2</v>
      </c>
      <c r="N35" s="554">
        <f t="shared" si="0"/>
        <v>45.576111111111111</v>
      </c>
      <c r="O35" s="554">
        <f t="shared" si="1"/>
        <v>54.69133333333334</v>
      </c>
      <c r="P35" s="554">
        <f t="shared" si="2"/>
        <v>227.88055555555556</v>
      </c>
      <c r="Q35" s="554">
        <f t="shared" si="3"/>
        <v>273.45666666666671</v>
      </c>
    </row>
    <row r="36" spans="1:17" s="535" customFormat="1" ht="51.75" thickBot="1" x14ac:dyDescent="0.3">
      <c r="A36" s="529" t="s">
        <v>273</v>
      </c>
      <c r="B36" s="616" t="s">
        <v>195</v>
      </c>
      <c r="C36" s="541" t="s">
        <v>206</v>
      </c>
      <c r="D36" s="542">
        <v>1</v>
      </c>
      <c r="E36" s="554">
        <f t="shared" si="4"/>
        <v>179.64166666666668</v>
      </c>
      <c r="F36" s="554">
        <v>215.57</v>
      </c>
      <c r="G36" s="554">
        <f t="shared" si="5"/>
        <v>196.61666666666667</v>
      </c>
      <c r="H36" s="555">
        <v>235.94</v>
      </c>
      <c r="I36" s="555">
        <f>J36/1.2</f>
        <v>200.08333333333334</v>
      </c>
      <c r="J36" s="556">
        <v>240.1</v>
      </c>
      <c r="K36" s="551" t="s">
        <v>239</v>
      </c>
      <c r="L36" s="552">
        <f t="shared" si="6"/>
        <v>13.127346774323186</v>
      </c>
      <c r="M36" s="553">
        <f t="shared" si="7"/>
        <v>5.6942554796734518E-2</v>
      </c>
      <c r="N36" s="554">
        <f t="shared" si="0"/>
        <v>192.11388888888891</v>
      </c>
      <c r="O36" s="554">
        <f t="shared" si="1"/>
        <v>230.53666666666666</v>
      </c>
      <c r="P36" s="554">
        <f t="shared" si="2"/>
        <v>192.11388888888891</v>
      </c>
      <c r="Q36" s="554">
        <f t="shared" si="3"/>
        <v>230.53666666666666</v>
      </c>
    </row>
    <row r="37" spans="1:17" s="535" customFormat="1" ht="51.75" thickBot="1" x14ac:dyDescent="0.3">
      <c r="A37" s="529" t="s">
        <v>274</v>
      </c>
      <c r="B37" s="616" t="s">
        <v>196</v>
      </c>
      <c r="C37" s="541" t="s">
        <v>206</v>
      </c>
      <c r="D37" s="542">
        <v>1</v>
      </c>
      <c r="E37" s="554">
        <f t="shared" si="4"/>
        <v>272.14166666666665</v>
      </c>
      <c r="F37" s="554">
        <v>326.57</v>
      </c>
      <c r="G37" s="554">
        <f t="shared" si="5"/>
        <v>297.85833333333335</v>
      </c>
      <c r="H37" s="555">
        <v>357.43</v>
      </c>
      <c r="I37" s="555">
        <f>J37/1.2</f>
        <v>315</v>
      </c>
      <c r="J37" s="556">
        <v>378</v>
      </c>
      <c r="K37" s="551" t="s">
        <v>240</v>
      </c>
      <c r="L37" s="552">
        <f t="shared" si="6"/>
        <v>25.885998145715767</v>
      </c>
      <c r="M37" s="553">
        <f t="shared" si="7"/>
        <v>7.3124288547219682E-2</v>
      </c>
      <c r="N37" s="554">
        <f t="shared" si="0"/>
        <v>295</v>
      </c>
      <c r="O37" s="554">
        <f t="shared" si="1"/>
        <v>354</v>
      </c>
      <c r="P37" s="554">
        <f t="shared" si="2"/>
        <v>295</v>
      </c>
      <c r="Q37" s="554">
        <f t="shared" si="3"/>
        <v>354</v>
      </c>
    </row>
    <row r="38" spans="1:17" s="535" customFormat="1" ht="51.75" thickBot="1" x14ac:dyDescent="0.3">
      <c r="A38" s="529" t="s">
        <v>275</v>
      </c>
      <c r="B38" s="616" t="s">
        <v>197</v>
      </c>
      <c r="C38" s="541" t="s">
        <v>206</v>
      </c>
      <c r="D38" s="542">
        <v>10</v>
      </c>
      <c r="E38" s="554">
        <f t="shared" si="4"/>
        <v>26.175000000000001</v>
      </c>
      <c r="F38" s="554">
        <v>31.41</v>
      </c>
      <c r="G38" s="554">
        <f t="shared" si="5"/>
        <v>28.658333333333335</v>
      </c>
      <c r="H38" s="555">
        <v>34.39</v>
      </c>
      <c r="I38" s="555">
        <f>J38/1.2</f>
        <v>30.083333333333336</v>
      </c>
      <c r="J38" s="556">
        <v>36.1</v>
      </c>
      <c r="K38" s="551" t="s">
        <v>241</v>
      </c>
      <c r="L38" s="552">
        <f t="shared" si="6"/>
        <v>2.3734854820144435</v>
      </c>
      <c r="M38" s="553">
        <f t="shared" si="7"/>
        <v>6.9876903297775572E-2</v>
      </c>
      <c r="N38" s="554">
        <f t="shared" si="0"/>
        <v>28.305555555555557</v>
      </c>
      <c r="O38" s="554">
        <f t="shared" si="1"/>
        <v>33.966666666666669</v>
      </c>
      <c r="P38" s="554">
        <f t="shared" si="2"/>
        <v>283.05555555555554</v>
      </c>
      <c r="Q38" s="554">
        <f t="shared" si="3"/>
        <v>339.66666666666669</v>
      </c>
    </row>
    <row r="39" spans="1:17" s="535" customFormat="1" ht="51.75" thickBot="1" x14ac:dyDescent="0.3">
      <c r="A39" s="529" t="s">
        <v>276</v>
      </c>
      <c r="B39" s="616" t="s">
        <v>198</v>
      </c>
      <c r="C39" s="541" t="s">
        <v>206</v>
      </c>
      <c r="D39" s="542">
        <v>2</v>
      </c>
      <c r="E39" s="554">
        <f t="shared" si="4"/>
        <v>141.86666666666667</v>
      </c>
      <c r="F39" s="554">
        <v>170.24</v>
      </c>
      <c r="G39" s="554">
        <f t="shared" si="5"/>
        <v>155.26666666666668</v>
      </c>
      <c r="H39" s="555">
        <v>186.32</v>
      </c>
      <c r="I39" s="555">
        <v>205</v>
      </c>
      <c r="J39" s="556">
        <f>205*1.2</f>
        <v>246</v>
      </c>
      <c r="K39" s="551" t="s">
        <v>242</v>
      </c>
      <c r="L39" s="552">
        <f t="shared" si="6"/>
        <v>39.916259009748558</v>
      </c>
      <c r="M39" s="553">
        <f t="shared" si="7"/>
        <v>0.19873336602038913</v>
      </c>
      <c r="N39" s="554">
        <f t="shared" si="0"/>
        <v>167.37777777777777</v>
      </c>
      <c r="O39" s="554">
        <f t="shared" si="1"/>
        <v>200.85333333333332</v>
      </c>
      <c r="P39" s="554">
        <f t="shared" si="2"/>
        <v>334.75555555555553</v>
      </c>
      <c r="Q39" s="554">
        <f t="shared" si="3"/>
        <v>401.70666666666665</v>
      </c>
    </row>
    <row r="40" spans="1:17" s="535" customFormat="1" ht="51.75" thickBot="1" x14ac:dyDescent="0.3">
      <c r="A40" s="529" t="s">
        <v>277</v>
      </c>
      <c r="B40" s="616" t="s">
        <v>199</v>
      </c>
      <c r="C40" s="541" t="s">
        <v>206</v>
      </c>
      <c r="D40" s="542">
        <v>2</v>
      </c>
      <c r="E40" s="554">
        <f t="shared" si="4"/>
        <v>37.1</v>
      </c>
      <c r="F40" s="554">
        <v>44.52</v>
      </c>
      <c r="G40" s="554">
        <f t="shared" si="5"/>
        <v>40.6</v>
      </c>
      <c r="H40" s="555">
        <v>48.72</v>
      </c>
      <c r="I40" s="555">
        <v>51.88</v>
      </c>
      <c r="J40" s="556">
        <f>51.88*1.2</f>
        <v>62.256</v>
      </c>
      <c r="K40" s="551" t="s">
        <v>243</v>
      </c>
      <c r="L40" s="552">
        <f t="shared" si="6"/>
        <v>9.2684859605007759</v>
      </c>
      <c r="M40" s="553">
        <f t="shared" si="7"/>
        <v>0.17881783378030514</v>
      </c>
      <c r="N40" s="554">
        <f t="shared" si="0"/>
        <v>43.193333333333335</v>
      </c>
      <c r="O40" s="554">
        <f t="shared" si="1"/>
        <v>51.832000000000001</v>
      </c>
      <c r="P40" s="554">
        <f t="shared" si="2"/>
        <v>86.38666666666667</v>
      </c>
      <c r="Q40" s="554">
        <f t="shared" si="3"/>
        <v>103.664</v>
      </c>
    </row>
    <row r="41" spans="1:17" s="535" customFormat="1" ht="51.75" thickBot="1" x14ac:dyDescent="0.3">
      <c r="A41" s="529" t="s">
        <v>278</v>
      </c>
      <c r="B41" s="616" t="s">
        <v>200</v>
      </c>
      <c r="C41" s="541" t="s">
        <v>206</v>
      </c>
      <c r="D41" s="542">
        <v>10</v>
      </c>
      <c r="E41" s="554">
        <f t="shared" si="4"/>
        <v>21.825000000000003</v>
      </c>
      <c r="F41" s="554">
        <v>26.19</v>
      </c>
      <c r="G41" s="554">
        <f t="shared" si="5"/>
        <v>23.891666666666669</v>
      </c>
      <c r="H41" s="555">
        <v>28.67</v>
      </c>
      <c r="I41" s="555">
        <v>30.03</v>
      </c>
      <c r="J41" s="556">
        <f>30.03*1.2</f>
        <v>36.036000000000001</v>
      </c>
      <c r="K41" s="551" t="s">
        <v>244</v>
      </c>
      <c r="L41" s="552">
        <f t="shared" si="6"/>
        <v>5.1210687686588754</v>
      </c>
      <c r="M41" s="553">
        <f t="shared" si="7"/>
        <v>0.16901960818932216</v>
      </c>
      <c r="N41" s="554">
        <f t="shared" si="0"/>
        <v>25.248888888888889</v>
      </c>
      <c r="O41" s="554">
        <f t="shared" si="1"/>
        <v>30.298666666666666</v>
      </c>
      <c r="P41" s="554">
        <f t="shared" si="2"/>
        <v>252.48888888888888</v>
      </c>
      <c r="Q41" s="554">
        <f t="shared" si="3"/>
        <v>302.98666666666668</v>
      </c>
    </row>
    <row r="42" spans="1:17" s="535" customFormat="1" ht="51.75" thickBot="1" x14ac:dyDescent="0.3">
      <c r="A42" s="529" t="s">
        <v>279</v>
      </c>
      <c r="B42" s="616" t="s">
        <v>201</v>
      </c>
      <c r="C42" s="541" t="s">
        <v>207</v>
      </c>
      <c r="D42" s="542">
        <v>40</v>
      </c>
      <c r="E42" s="554">
        <f t="shared" si="4"/>
        <v>392.5</v>
      </c>
      <c r="F42" s="554">
        <v>471</v>
      </c>
      <c r="G42" s="554">
        <f t="shared" si="5"/>
        <v>429.16666666666669</v>
      </c>
      <c r="H42" s="555">
        <f>5.15*100</f>
        <v>515</v>
      </c>
      <c r="I42" s="558">
        <v>283</v>
      </c>
      <c r="J42" s="556">
        <f>I42*1.2</f>
        <v>339.59999999999997</v>
      </c>
      <c r="K42" s="551" t="s">
        <v>211</v>
      </c>
      <c r="L42" s="552">
        <f t="shared" si="6"/>
        <v>91.257072785255048</v>
      </c>
      <c r="M42" s="553">
        <f t="shared" si="7"/>
        <v>0.2065262661102634</v>
      </c>
      <c r="N42" s="554">
        <f t="shared" si="0"/>
        <v>368.22222222222223</v>
      </c>
      <c r="O42" s="554">
        <f t="shared" si="1"/>
        <v>441.86666666666662</v>
      </c>
      <c r="P42" s="554">
        <f t="shared" si="2"/>
        <v>14728.888888888889</v>
      </c>
      <c r="Q42" s="554">
        <f t="shared" si="3"/>
        <v>17674.666666666664</v>
      </c>
    </row>
    <row r="43" spans="1:17" s="535" customFormat="1" ht="51.75" thickBot="1" x14ac:dyDescent="0.3">
      <c r="A43" s="529" t="s">
        <v>280</v>
      </c>
      <c r="B43" s="616" t="s">
        <v>202</v>
      </c>
      <c r="C43" s="541" t="s">
        <v>206</v>
      </c>
      <c r="D43" s="542">
        <v>3</v>
      </c>
      <c r="E43" s="554">
        <f t="shared" si="4"/>
        <v>204.9</v>
      </c>
      <c r="F43" s="554">
        <v>245.88</v>
      </c>
      <c r="G43" s="554">
        <f t="shared" si="5"/>
        <v>224.26666666666668</v>
      </c>
      <c r="H43" s="555">
        <v>269.12</v>
      </c>
      <c r="I43" s="557">
        <v>282.08999999999997</v>
      </c>
      <c r="J43" s="556">
        <f>282.09*1.2</f>
        <v>338.50799999999998</v>
      </c>
      <c r="K43" s="551" t="s">
        <v>245</v>
      </c>
      <c r="L43" s="552">
        <f t="shared" si="6"/>
        <v>48.191870905094902</v>
      </c>
      <c r="M43" s="553">
        <f t="shared" si="7"/>
        <v>0.16938987416085693</v>
      </c>
      <c r="N43" s="554">
        <f t="shared" si="0"/>
        <v>237.08555555555554</v>
      </c>
      <c r="O43" s="554">
        <f t="shared" si="1"/>
        <v>284.5026666666667</v>
      </c>
      <c r="P43" s="554">
        <f t="shared" si="2"/>
        <v>711.25666666666666</v>
      </c>
      <c r="Q43" s="554">
        <f t="shared" si="3"/>
        <v>853.50800000000004</v>
      </c>
    </row>
    <row r="44" spans="1:17" s="535" customFormat="1" ht="51.75" thickBot="1" x14ac:dyDescent="0.3">
      <c r="A44" s="529" t="s">
        <v>281</v>
      </c>
      <c r="B44" s="616" t="s">
        <v>203</v>
      </c>
      <c r="C44" s="541" t="s">
        <v>206</v>
      </c>
      <c r="D44" s="542">
        <v>10</v>
      </c>
      <c r="E44" s="554">
        <f t="shared" si="4"/>
        <v>16.850000000000001</v>
      </c>
      <c r="F44" s="554">
        <v>20.22</v>
      </c>
      <c r="G44" s="554">
        <f t="shared" si="5"/>
        <v>18.441666666666666</v>
      </c>
      <c r="H44" s="555">
        <v>22.13</v>
      </c>
      <c r="I44" s="555">
        <v>25.33</v>
      </c>
      <c r="J44" s="556">
        <f>25.33*1.2</f>
        <v>30.395999999999997</v>
      </c>
      <c r="K44" s="551" t="s">
        <v>247</v>
      </c>
      <c r="L44" s="552">
        <f t="shared" si="6"/>
        <v>5.4087249267579995</v>
      </c>
      <c r="M44" s="553">
        <f t="shared" si="7"/>
        <v>0.22305246721845876</v>
      </c>
      <c r="N44" s="554">
        <f t="shared" si="0"/>
        <v>20.207222222222224</v>
      </c>
      <c r="O44" s="554">
        <f t="shared" si="1"/>
        <v>24.248666666666665</v>
      </c>
      <c r="P44" s="554">
        <f t="shared" si="2"/>
        <v>202.07222222222225</v>
      </c>
      <c r="Q44" s="554">
        <f t="shared" si="3"/>
        <v>242.48666666666665</v>
      </c>
    </row>
    <row r="45" spans="1:17" s="535" customFormat="1" ht="51.75" thickBot="1" x14ac:dyDescent="0.3">
      <c r="A45" s="529" t="s">
        <v>282</v>
      </c>
      <c r="B45" s="616" t="s">
        <v>204</v>
      </c>
      <c r="C45" s="541" t="s">
        <v>206</v>
      </c>
      <c r="D45" s="542">
        <v>3</v>
      </c>
      <c r="E45" s="554">
        <f t="shared" si="4"/>
        <v>191.92500000000001</v>
      </c>
      <c r="F45" s="554">
        <v>230.31</v>
      </c>
      <c r="G45" s="554">
        <f t="shared" si="5"/>
        <v>105.03333333333335</v>
      </c>
      <c r="H45" s="555">
        <v>126.04</v>
      </c>
      <c r="I45" s="555">
        <f>J45/1.2</f>
        <v>204.02500000000001</v>
      </c>
      <c r="J45" s="556">
        <v>244.83</v>
      </c>
      <c r="K45" s="551" t="s">
        <v>246</v>
      </c>
      <c r="L45" s="552">
        <f t="shared" si="6"/>
        <v>64.799855195311466</v>
      </c>
      <c r="M45" s="553">
        <f t="shared" si="7"/>
        <v>0.32336332809796464</v>
      </c>
      <c r="N45" s="554">
        <f t="shared" si="0"/>
        <v>166.99444444444444</v>
      </c>
      <c r="O45" s="554">
        <f t="shared" si="1"/>
        <v>200.39333333333335</v>
      </c>
      <c r="P45" s="554">
        <f t="shared" si="2"/>
        <v>500.98333333333335</v>
      </c>
      <c r="Q45" s="554">
        <f t="shared" si="3"/>
        <v>601.18000000000006</v>
      </c>
    </row>
    <row r="46" spans="1:17" ht="16.5" thickBot="1" x14ac:dyDescent="0.3">
      <c r="P46" s="538">
        <f>SUM(P7:P45)</f>
        <v>184574.56499999997</v>
      </c>
      <c r="Q46" s="538">
        <f>SUM(Q7:Q45)</f>
        <v>221489.47799999989</v>
      </c>
    </row>
    <row r="47" spans="1:17" x14ac:dyDescent="0.25">
      <c r="B47" s="617" t="s">
        <v>253</v>
      </c>
      <c r="C47" s="617"/>
      <c r="D47" s="617"/>
      <c r="E47" s="617"/>
      <c r="F47" s="617"/>
      <c r="G47" s="617"/>
      <c r="H47" s="617"/>
      <c r="I47" s="617"/>
      <c r="J47" s="617"/>
      <c r="K47" s="617"/>
      <c r="L47" s="617"/>
      <c r="M47" s="617"/>
      <c r="N47" s="617"/>
      <c r="O47" s="617"/>
      <c r="P47" s="617"/>
      <c r="Q47" s="617"/>
    </row>
    <row r="48" spans="1:17" x14ac:dyDescent="0.25">
      <c r="B48" s="617"/>
      <c r="C48" s="617"/>
      <c r="D48" s="617"/>
      <c r="E48" s="617"/>
      <c r="F48" s="617"/>
      <c r="G48" s="617"/>
      <c r="H48" s="617"/>
      <c r="I48" s="617"/>
      <c r="J48" s="617"/>
      <c r="K48" s="617"/>
      <c r="L48" s="617"/>
      <c r="M48" s="617"/>
      <c r="N48" s="617"/>
      <c r="O48" s="617"/>
      <c r="P48" s="617"/>
      <c r="Q48" s="617"/>
    </row>
    <row r="49" spans="2:17" x14ac:dyDescent="0.25">
      <c r="B49" s="617"/>
      <c r="C49" s="617"/>
      <c r="D49" s="617"/>
      <c r="E49" s="617"/>
      <c r="F49" s="617"/>
      <c r="G49" s="617"/>
      <c r="H49" s="617"/>
      <c r="I49" s="617"/>
      <c r="J49" s="617"/>
      <c r="K49" s="617"/>
      <c r="L49" s="617"/>
      <c r="M49" s="617"/>
      <c r="N49" s="617"/>
      <c r="O49" s="617"/>
      <c r="P49" s="617"/>
      <c r="Q49" s="617"/>
    </row>
    <row r="50" spans="2:17" x14ac:dyDescent="0.25">
      <c r="B50" s="617"/>
      <c r="C50" s="617"/>
      <c r="D50" s="617"/>
      <c r="E50" s="617"/>
      <c r="F50" s="617"/>
      <c r="G50" s="617"/>
      <c r="H50" s="617"/>
      <c r="I50" s="617"/>
      <c r="J50" s="617"/>
      <c r="K50" s="617"/>
      <c r="L50" s="617"/>
      <c r="M50" s="617"/>
      <c r="N50" s="617"/>
      <c r="O50" s="617"/>
      <c r="P50" s="617"/>
      <c r="Q50" s="617"/>
    </row>
    <row r="51" spans="2:17" x14ac:dyDescent="0.25">
      <c r="B51" s="617"/>
      <c r="C51" s="617"/>
      <c r="D51" s="617"/>
      <c r="E51" s="617"/>
      <c r="F51" s="617"/>
      <c r="G51" s="617"/>
      <c r="H51" s="617"/>
      <c r="I51" s="617"/>
      <c r="J51" s="617"/>
      <c r="K51" s="617"/>
      <c r="L51" s="617"/>
      <c r="M51" s="617"/>
      <c r="N51" s="617"/>
      <c r="O51" s="617"/>
      <c r="P51" s="617"/>
      <c r="Q51" s="617"/>
    </row>
    <row r="54" spans="2:17" x14ac:dyDescent="0.25">
      <c r="B54" s="501" t="s">
        <v>283</v>
      </c>
    </row>
  </sheetData>
  <customSheetViews>
    <customSheetView guid="{4F83E3D9-05C9-45DD-BE29-5010E4EF885C}">
      <selection activeCell="C2" sqref="C2"/>
      <pageMargins left="0.7" right="0.7" top="0.75" bottom="0.75" header="0.3" footer="0.3"/>
      <pageSetup paperSize="9" orientation="portrait" r:id="rId1"/>
    </customSheetView>
    <customSheetView guid="{E3DB1A70-74DD-44C5-A9A7-0FA1388C0D1F}" topLeftCell="C1">
      <selection activeCell="N13" sqref="N13"/>
      <pageMargins left="0.7" right="0.7" top="0.75" bottom="0.75" header="0.3" footer="0.3"/>
      <pageSetup paperSize="9" orientation="portrait" r:id="rId2"/>
    </customSheetView>
  </customSheetViews>
  <mergeCells count="11">
    <mergeCell ref="B47:Q51"/>
    <mergeCell ref="G5:H5"/>
    <mergeCell ref="E5:F5"/>
    <mergeCell ref="B2:P3"/>
    <mergeCell ref="I5:K5"/>
    <mergeCell ref="L5:L6"/>
    <mergeCell ref="M5:M6"/>
    <mergeCell ref="N5:N6"/>
    <mergeCell ref="O5:O6"/>
    <mergeCell ref="P5:P6"/>
    <mergeCell ref="Q5:Q6"/>
  </mergeCells>
  <phoneticPr fontId="23" type="noConversion"/>
  <conditionalFormatting sqref="L7:L45">
    <cfRule type="cellIs" dxfId="0" priority="1" operator="equal">
      <formula>0</formula>
    </cfRule>
  </conditionalFormatting>
  <hyperlinks>
    <hyperlink ref="K7" r:id="rId3" display="399,76 _x000a_Контракт в ЕИС №3742574547523000010" xr:uid="{00000000-0004-0000-0200-000000000000}"/>
    <hyperlink ref="K8" r:id="rId4" display="120,00 _x000a_Контракт в ЕИС №1667135626020000048" xr:uid="{00000000-0004-0000-0200-000001000000}"/>
    <hyperlink ref="K9" r:id="rId5" display="308,00 _x000a_Контракт в ЕИС №1730201465123000045" xr:uid="{00000000-0004-0000-0200-000002000000}"/>
    <hyperlink ref="K10" r:id="rId6" display="45,00 _x000a_Контракт в ЕИС №1056207387121000021" xr:uid="{00000000-0004-0000-0200-000003000000}"/>
    <hyperlink ref="K11" r:id="rId7" display="42,47 _x000a_Контракт в ЕИС №2480300949521000004" xr:uid="{00000000-0004-0000-0200-000004000000}"/>
    <hyperlink ref="K12" r:id="rId8" display="142,93 _x000a_Контракт в ЕИС №1540810001819000027" xr:uid="{00000000-0004-0000-0200-000005000000}"/>
    <hyperlink ref="K13" r:id="rId9" display="64,68 _x000a_Контракт в ЕИС №2222402220522000041" xr:uid="{00000000-0004-0000-0200-000006000000}"/>
    <hyperlink ref="K14" r:id="rId10" display="67,17 _x000a_Контракт в ЕИС №2057200059023000007" xr:uid="{00000000-0004-0000-0200-000007000000}"/>
    <hyperlink ref="K15" r:id="rId11" display="107,12 _x000a_Контракт в ЕИС №2552805078522000029" xr:uid="{00000000-0004-0000-0200-000008000000}"/>
    <hyperlink ref="K16" r:id="rId12" display="159,44 _x000a_Контракт в ЕИС №1575177777722000028" xr:uid="{00000000-0004-0000-0200-000009000000}"/>
    <hyperlink ref="K17" r:id="rId13" display="227,53 _x000a_Контракт в ЕИС №1771203629622000011" xr:uid="{00000000-0004-0000-0200-00000A000000}"/>
    <hyperlink ref="K18" r:id="rId14" display="85,60 _x000a_Контракт в ЕИС №2524300950123000079" xr:uid="{00000000-0004-0000-0200-00000B000000}"/>
    <hyperlink ref="K19" r:id="rId15" display="58,83 _x000a_Контракт в ЕИС №2472700242423000014" xr:uid="{00000000-0004-0000-0200-00000C000000}"/>
    <hyperlink ref="K20" r:id="rId16" display="85,60 _x000a_Контракт в ЕИС №2524300950123000079" xr:uid="{00000000-0004-0000-0200-00000D000000}"/>
    <hyperlink ref="K21" r:id="rId17" display="32,67 _x000a_Контракт в ЕИС №2244304735420000229" xr:uid="{00000000-0004-0000-0200-00000E000000}"/>
    <hyperlink ref="K22" r:id="rId18" display="77,00 _x000a_Контракт в ЕИС №1165905654322000075" xr:uid="{00000000-0004-0000-0200-00000F000000}"/>
    <hyperlink ref="K23" r:id="rId19" display="120,36 _x000a_Контракт в ЕИС №3470404023022000027" xr:uid="{00000000-0004-0000-0200-000010000000}"/>
    <hyperlink ref="K24" r:id="rId20" display="247,80 _x000a_Контракт в ЕИС №1771203629622000008" xr:uid="{00000000-0004-0000-0200-000011000000}"/>
    <hyperlink ref="K25" r:id="rId21" display="36,00 _x000a_Контракт в ЕИС №2026000376522000097" xr:uid="{00000000-0004-0000-0200-000012000000}"/>
    <hyperlink ref="K26" r:id="rId22" display="14,03 _x000a_Контракт в ЕИС №2504502725923000006" xr:uid="{00000000-0004-0000-0200-000013000000}"/>
    <hyperlink ref="K27" r:id="rId23" display="30,10 _x000a_Контракт в ЕИС №1772470742122000076" xr:uid="{00000000-0004-0000-0200-000014000000}"/>
    <hyperlink ref="K28" r:id="rId24" display="500,00 _x000a_Контракт в ЕИС №2410502210419000013" xr:uid="{00000000-0004-0000-0200-000015000000}"/>
    <hyperlink ref="K29" r:id="rId25" display="84,50 _x000a_Контракт в ЕИС №1671500149020000049" xr:uid="{00000000-0004-0000-0200-000016000000}"/>
    <hyperlink ref="K30" r:id="rId26" display="18,11 _x000a_Контракт в ЕИС №3143302031221000085" xr:uid="{00000000-0004-0000-0200-000017000000}"/>
    <hyperlink ref="K31" r:id="rId27" display="29,35 _x000a_Контракт в ЕИС №3242200128522000024" xr:uid="{00000000-0004-0000-0200-000018000000}"/>
    <hyperlink ref="K32" r:id="rId28" display="156,00 _x000a_Контракт в ЕИС №1771202925020000067" xr:uid="{00000000-0004-0000-0200-000019000000}"/>
    <hyperlink ref="K33" r:id="rId29" display="52,98 _x000a_Контракт в ЕИС №3330103280522000002" xr:uid="{00000000-0004-0000-0200-00001A000000}"/>
    <hyperlink ref="K34" r:id="rId30" display="90,00 _x000a_Контракт в ЕИС №2672900839022000109" xr:uid="{00000000-0004-0000-0200-00001B000000}"/>
    <hyperlink ref="K35" r:id="rId31" display="45,12 _x000a_Контракт в ЕИС №2553700603823000035" xr:uid="{00000000-0004-0000-0200-00001C000000}"/>
    <hyperlink ref="K36" r:id="rId32" display="240,10 _x000a_Контракт в ЕИС №2420705278923000015" xr:uid="{00000000-0004-0000-0200-00001D000000}"/>
    <hyperlink ref="K37" r:id="rId33" display="378,00 _x000a_Контракт в ЕИС №1771002334022000095" xr:uid="{00000000-0004-0000-0200-00001E000000}"/>
    <hyperlink ref="K38" r:id="rId34" display="36,10 _x000a_Контракт в ЕИС №3744100628823000020" xr:uid="{00000000-0004-0000-0200-00001F000000}"/>
    <hyperlink ref="K39" r:id="rId35" display="205,00 _x000a_Контракт в ЕИС №2030901565122000049" xr:uid="{00000000-0004-0000-0200-000020000000}"/>
    <hyperlink ref="K40" r:id="rId36" display="51,88 _x000a_Контракт в ЕИС №2784137807220000005" xr:uid="{00000000-0004-0000-0200-000021000000}"/>
    <hyperlink ref="K41" r:id="rId37" display="30,03 _x000a_Контракт в ЕИС №2165501824023000262" xr:uid="{00000000-0004-0000-0200-000022000000}"/>
    <hyperlink ref="K42" r:id="rId38" display="399,76 _x000a_Контракт в ЕИС №3742574547523000010" xr:uid="{00000000-0004-0000-0200-000023000000}"/>
    <hyperlink ref="K43" r:id="rId39" display="282,09 _x000a_Контракт в ЕИС №2900101257323000032" xr:uid="{00000000-0004-0000-0200-000024000000}"/>
    <hyperlink ref="K44" r:id="rId40" display="25,33 _x000a_Контракт в ЕИС №1772231995222001151" xr:uid="{00000000-0004-0000-0200-000025000000}"/>
    <hyperlink ref="K45" r:id="rId41" display="244,83 _x000a_Контракт в ЕИС №2771446405723000011" xr:uid="{00000000-0004-0000-0200-000026000000}"/>
  </hyperlinks>
  <pageMargins left="0.7" right="0.7" top="0.75" bottom="0.75" header="0.3" footer="0.3"/>
  <pageSetup paperSize="9" scale="54" fitToHeight="0" orientation="landscape" r:id="rId42"/>
  <customProperties>
    <customPr name="LastActive" r:id="rId4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WB43"/>
  <sheetViews>
    <sheetView view="pageBreakPreview" zoomScale="60" zoomScaleNormal="100" workbookViewId="0">
      <selection activeCell="C9" sqref="C9"/>
    </sheetView>
  </sheetViews>
  <sheetFormatPr defaultRowHeight="12.75" x14ac:dyDescent="0.2"/>
  <cols>
    <col min="1" max="1" width="28.7109375" style="1" customWidth="1"/>
    <col min="2" max="2" width="9.42578125" style="1" customWidth="1"/>
    <col min="3" max="3" width="10.5703125" style="1" bestFit="1" customWidth="1"/>
    <col min="4" max="4" width="9.7109375" style="1" customWidth="1"/>
    <col min="5" max="5" width="11.140625" style="1" customWidth="1"/>
    <col min="6" max="6" width="12.28515625" style="1" customWidth="1"/>
    <col min="7" max="7" width="10.28515625" style="1" customWidth="1"/>
    <col min="8" max="8" width="11.28515625" style="1" customWidth="1"/>
    <col min="9" max="9" width="12.28515625" style="1" customWidth="1"/>
    <col min="10" max="19" width="8.85546875" style="1" hidden="1" customWidth="1"/>
    <col min="20" max="20" width="11.28515625" style="1" hidden="1" customWidth="1"/>
    <col min="21" max="256" width="9.140625" style="1"/>
    <col min="257" max="257" width="28.7109375" style="1" customWidth="1"/>
    <col min="258" max="258" width="9.42578125" style="1" customWidth="1"/>
    <col min="259" max="259" width="10.5703125" style="1" bestFit="1" customWidth="1"/>
    <col min="260" max="260" width="9.7109375" style="1" customWidth="1"/>
    <col min="261" max="261" width="11.140625" style="1" customWidth="1"/>
    <col min="262" max="262" width="12.28515625" style="1" customWidth="1"/>
    <col min="263" max="263" width="10.28515625" style="1" customWidth="1"/>
    <col min="264" max="264" width="11.28515625" style="1" customWidth="1"/>
    <col min="265" max="265" width="12.28515625" style="1" customWidth="1"/>
    <col min="266" max="276" width="9.140625" style="1" hidden="1" customWidth="1"/>
    <col min="277" max="512" width="9.140625" style="1"/>
    <col min="513" max="513" width="28.7109375" style="1" customWidth="1"/>
    <col min="514" max="514" width="9.42578125" style="1" customWidth="1"/>
    <col min="515" max="515" width="10.5703125" style="1" bestFit="1" customWidth="1"/>
    <col min="516" max="516" width="9.7109375" style="1" customWidth="1"/>
    <col min="517" max="517" width="11.140625" style="1" customWidth="1"/>
    <col min="518" max="518" width="12.28515625" style="1" customWidth="1"/>
    <col min="519" max="519" width="10.28515625" style="1" customWidth="1"/>
    <col min="520" max="520" width="11.28515625" style="1" customWidth="1"/>
    <col min="521" max="521" width="12.28515625" style="1" customWidth="1"/>
    <col min="522" max="532" width="9.140625" style="1" hidden="1" customWidth="1"/>
    <col min="533" max="768" width="9.140625" style="1"/>
    <col min="769" max="769" width="28.7109375" style="1" customWidth="1"/>
    <col min="770" max="770" width="9.42578125" style="1" customWidth="1"/>
    <col min="771" max="771" width="10.5703125" style="1" bestFit="1" customWidth="1"/>
    <col min="772" max="772" width="9.7109375" style="1" customWidth="1"/>
    <col min="773" max="773" width="11.140625" style="1" customWidth="1"/>
    <col min="774" max="774" width="12.28515625" style="1" customWidth="1"/>
    <col min="775" max="775" width="10.28515625" style="1" customWidth="1"/>
    <col min="776" max="776" width="11.28515625" style="1" customWidth="1"/>
    <col min="777" max="777" width="12.28515625" style="1" customWidth="1"/>
    <col min="778" max="788" width="9.140625" style="1" hidden="1" customWidth="1"/>
    <col min="789" max="1024" width="9.140625" style="1"/>
    <col min="1025" max="1025" width="28.7109375" style="1" customWidth="1"/>
    <col min="1026" max="1026" width="9.42578125" style="1" customWidth="1"/>
    <col min="1027" max="1027" width="10.5703125" style="1" bestFit="1" customWidth="1"/>
    <col min="1028" max="1028" width="9.7109375" style="1" customWidth="1"/>
    <col min="1029" max="1029" width="11.140625" style="1" customWidth="1"/>
    <col min="1030" max="1030" width="12.28515625" style="1" customWidth="1"/>
    <col min="1031" max="1031" width="10.28515625" style="1" customWidth="1"/>
    <col min="1032" max="1032" width="11.28515625" style="1" customWidth="1"/>
    <col min="1033" max="1033" width="12.28515625" style="1" customWidth="1"/>
    <col min="1034" max="1044" width="9.140625" style="1" hidden="1" customWidth="1"/>
    <col min="1045" max="1280" width="9.140625" style="1"/>
    <col min="1281" max="1281" width="28.7109375" style="1" customWidth="1"/>
    <col min="1282" max="1282" width="9.42578125" style="1" customWidth="1"/>
    <col min="1283" max="1283" width="10.5703125" style="1" bestFit="1" customWidth="1"/>
    <col min="1284" max="1284" width="9.7109375" style="1" customWidth="1"/>
    <col min="1285" max="1285" width="11.140625" style="1" customWidth="1"/>
    <col min="1286" max="1286" width="12.28515625" style="1" customWidth="1"/>
    <col min="1287" max="1287" width="10.28515625" style="1" customWidth="1"/>
    <col min="1288" max="1288" width="11.28515625" style="1" customWidth="1"/>
    <col min="1289" max="1289" width="12.28515625" style="1" customWidth="1"/>
    <col min="1290" max="1300" width="9.140625" style="1" hidden="1" customWidth="1"/>
    <col min="1301" max="1536" width="9.140625" style="1"/>
    <col min="1537" max="1537" width="28.7109375" style="1" customWidth="1"/>
    <col min="1538" max="1538" width="9.42578125" style="1" customWidth="1"/>
    <col min="1539" max="1539" width="10.5703125" style="1" bestFit="1" customWidth="1"/>
    <col min="1540" max="1540" width="9.7109375" style="1" customWidth="1"/>
    <col min="1541" max="1541" width="11.140625" style="1" customWidth="1"/>
    <col min="1542" max="1542" width="12.28515625" style="1" customWidth="1"/>
    <col min="1543" max="1543" width="10.28515625" style="1" customWidth="1"/>
    <col min="1544" max="1544" width="11.28515625" style="1" customWidth="1"/>
    <col min="1545" max="1545" width="12.28515625" style="1" customWidth="1"/>
    <col min="1546" max="1556" width="9.140625" style="1" hidden="1" customWidth="1"/>
    <col min="1557" max="1792" width="9.140625" style="1"/>
    <col min="1793" max="1793" width="28.7109375" style="1" customWidth="1"/>
    <col min="1794" max="1794" width="9.42578125" style="1" customWidth="1"/>
    <col min="1795" max="1795" width="10.5703125" style="1" bestFit="1" customWidth="1"/>
    <col min="1796" max="1796" width="9.7109375" style="1" customWidth="1"/>
    <col min="1797" max="1797" width="11.140625" style="1" customWidth="1"/>
    <col min="1798" max="1798" width="12.28515625" style="1" customWidth="1"/>
    <col min="1799" max="1799" width="10.28515625" style="1" customWidth="1"/>
    <col min="1800" max="1800" width="11.28515625" style="1" customWidth="1"/>
    <col min="1801" max="1801" width="12.28515625" style="1" customWidth="1"/>
    <col min="1802" max="1812" width="9.140625" style="1" hidden="1" customWidth="1"/>
    <col min="1813" max="2048" width="9.140625" style="1"/>
    <col min="2049" max="2049" width="28.7109375" style="1" customWidth="1"/>
    <col min="2050" max="2050" width="9.42578125" style="1" customWidth="1"/>
    <col min="2051" max="2051" width="10.5703125" style="1" bestFit="1" customWidth="1"/>
    <col min="2052" max="2052" width="9.7109375" style="1" customWidth="1"/>
    <col min="2053" max="2053" width="11.140625" style="1" customWidth="1"/>
    <col min="2054" max="2054" width="12.28515625" style="1" customWidth="1"/>
    <col min="2055" max="2055" width="10.28515625" style="1" customWidth="1"/>
    <col min="2056" max="2056" width="11.28515625" style="1" customWidth="1"/>
    <col min="2057" max="2057" width="12.28515625" style="1" customWidth="1"/>
    <col min="2058" max="2068" width="9.140625" style="1" hidden="1" customWidth="1"/>
    <col min="2069" max="2304" width="9.140625" style="1"/>
    <col min="2305" max="2305" width="28.7109375" style="1" customWidth="1"/>
    <col min="2306" max="2306" width="9.42578125" style="1" customWidth="1"/>
    <col min="2307" max="2307" width="10.5703125" style="1" bestFit="1" customWidth="1"/>
    <col min="2308" max="2308" width="9.7109375" style="1" customWidth="1"/>
    <col min="2309" max="2309" width="11.140625" style="1" customWidth="1"/>
    <col min="2310" max="2310" width="12.28515625" style="1" customWidth="1"/>
    <col min="2311" max="2311" width="10.28515625" style="1" customWidth="1"/>
    <col min="2312" max="2312" width="11.28515625" style="1" customWidth="1"/>
    <col min="2313" max="2313" width="12.28515625" style="1" customWidth="1"/>
    <col min="2314" max="2324" width="9.140625" style="1" hidden="1" customWidth="1"/>
    <col min="2325" max="2560" width="9.140625" style="1"/>
    <col min="2561" max="2561" width="28.7109375" style="1" customWidth="1"/>
    <col min="2562" max="2562" width="9.42578125" style="1" customWidth="1"/>
    <col min="2563" max="2563" width="10.5703125" style="1" bestFit="1" customWidth="1"/>
    <col min="2564" max="2564" width="9.7109375" style="1" customWidth="1"/>
    <col min="2565" max="2565" width="11.140625" style="1" customWidth="1"/>
    <col min="2566" max="2566" width="12.28515625" style="1" customWidth="1"/>
    <col min="2567" max="2567" width="10.28515625" style="1" customWidth="1"/>
    <col min="2568" max="2568" width="11.28515625" style="1" customWidth="1"/>
    <col min="2569" max="2569" width="12.28515625" style="1" customWidth="1"/>
    <col min="2570" max="2580" width="9.140625" style="1" hidden="1" customWidth="1"/>
    <col min="2581" max="2816" width="9.140625" style="1"/>
    <col min="2817" max="2817" width="28.7109375" style="1" customWidth="1"/>
    <col min="2818" max="2818" width="9.42578125" style="1" customWidth="1"/>
    <col min="2819" max="2819" width="10.5703125" style="1" bestFit="1" customWidth="1"/>
    <col min="2820" max="2820" width="9.7109375" style="1" customWidth="1"/>
    <col min="2821" max="2821" width="11.140625" style="1" customWidth="1"/>
    <col min="2822" max="2822" width="12.28515625" style="1" customWidth="1"/>
    <col min="2823" max="2823" width="10.28515625" style="1" customWidth="1"/>
    <col min="2824" max="2824" width="11.28515625" style="1" customWidth="1"/>
    <col min="2825" max="2825" width="12.28515625" style="1" customWidth="1"/>
    <col min="2826" max="2836" width="9.140625" style="1" hidden="1" customWidth="1"/>
    <col min="2837" max="3072" width="9.140625" style="1"/>
    <col min="3073" max="3073" width="28.7109375" style="1" customWidth="1"/>
    <col min="3074" max="3074" width="9.42578125" style="1" customWidth="1"/>
    <col min="3075" max="3075" width="10.5703125" style="1" bestFit="1" customWidth="1"/>
    <col min="3076" max="3076" width="9.7109375" style="1" customWidth="1"/>
    <col min="3077" max="3077" width="11.140625" style="1" customWidth="1"/>
    <col min="3078" max="3078" width="12.28515625" style="1" customWidth="1"/>
    <col min="3079" max="3079" width="10.28515625" style="1" customWidth="1"/>
    <col min="3080" max="3080" width="11.28515625" style="1" customWidth="1"/>
    <col min="3081" max="3081" width="12.28515625" style="1" customWidth="1"/>
    <col min="3082" max="3092" width="9.140625" style="1" hidden="1" customWidth="1"/>
    <col min="3093" max="3328" width="9.140625" style="1"/>
    <col min="3329" max="3329" width="28.7109375" style="1" customWidth="1"/>
    <col min="3330" max="3330" width="9.42578125" style="1" customWidth="1"/>
    <col min="3331" max="3331" width="10.5703125" style="1" bestFit="1" customWidth="1"/>
    <col min="3332" max="3332" width="9.7109375" style="1" customWidth="1"/>
    <col min="3333" max="3333" width="11.140625" style="1" customWidth="1"/>
    <col min="3334" max="3334" width="12.28515625" style="1" customWidth="1"/>
    <col min="3335" max="3335" width="10.28515625" style="1" customWidth="1"/>
    <col min="3336" max="3336" width="11.28515625" style="1" customWidth="1"/>
    <col min="3337" max="3337" width="12.28515625" style="1" customWidth="1"/>
    <col min="3338" max="3348" width="9.140625" style="1" hidden="1" customWidth="1"/>
    <col min="3349" max="3584" width="9.140625" style="1"/>
    <col min="3585" max="3585" width="28.7109375" style="1" customWidth="1"/>
    <col min="3586" max="3586" width="9.42578125" style="1" customWidth="1"/>
    <col min="3587" max="3587" width="10.5703125" style="1" bestFit="1" customWidth="1"/>
    <col min="3588" max="3588" width="9.7109375" style="1" customWidth="1"/>
    <col min="3589" max="3589" width="11.140625" style="1" customWidth="1"/>
    <col min="3590" max="3590" width="12.28515625" style="1" customWidth="1"/>
    <col min="3591" max="3591" width="10.28515625" style="1" customWidth="1"/>
    <col min="3592" max="3592" width="11.28515625" style="1" customWidth="1"/>
    <col min="3593" max="3593" width="12.28515625" style="1" customWidth="1"/>
    <col min="3594" max="3604" width="9.140625" style="1" hidden="1" customWidth="1"/>
    <col min="3605" max="3840" width="9.140625" style="1"/>
    <col min="3841" max="3841" width="28.7109375" style="1" customWidth="1"/>
    <col min="3842" max="3842" width="9.42578125" style="1" customWidth="1"/>
    <col min="3843" max="3843" width="10.5703125" style="1" bestFit="1" customWidth="1"/>
    <col min="3844" max="3844" width="9.7109375" style="1" customWidth="1"/>
    <col min="3845" max="3845" width="11.140625" style="1" customWidth="1"/>
    <col min="3846" max="3846" width="12.28515625" style="1" customWidth="1"/>
    <col min="3847" max="3847" width="10.28515625" style="1" customWidth="1"/>
    <col min="3848" max="3848" width="11.28515625" style="1" customWidth="1"/>
    <col min="3849" max="3849" width="12.28515625" style="1" customWidth="1"/>
    <col min="3850" max="3860" width="9.140625" style="1" hidden="1" customWidth="1"/>
    <col min="3861" max="4096" width="9.140625" style="1"/>
    <col min="4097" max="4097" width="28.7109375" style="1" customWidth="1"/>
    <col min="4098" max="4098" width="9.42578125" style="1" customWidth="1"/>
    <col min="4099" max="4099" width="10.5703125" style="1" bestFit="1" customWidth="1"/>
    <col min="4100" max="4100" width="9.7109375" style="1" customWidth="1"/>
    <col min="4101" max="4101" width="11.140625" style="1" customWidth="1"/>
    <col min="4102" max="4102" width="12.28515625" style="1" customWidth="1"/>
    <col min="4103" max="4103" width="10.28515625" style="1" customWidth="1"/>
    <col min="4104" max="4104" width="11.28515625" style="1" customWidth="1"/>
    <col min="4105" max="4105" width="12.28515625" style="1" customWidth="1"/>
    <col min="4106" max="4116" width="9.140625" style="1" hidden="1" customWidth="1"/>
    <col min="4117" max="4352" width="9.140625" style="1"/>
    <col min="4353" max="4353" width="28.7109375" style="1" customWidth="1"/>
    <col min="4354" max="4354" width="9.42578125" style="1" customWidth="1"/>
    <col min="4355" max="4355" width="10.5703125" style="1" bestFit="1" customWidth="1"/>
    <col min="4356" max="4356" width="9.7109375" style="1" customWidth="1"/>
    <col min="4357" max="4357" width="11.140625" style="1" customWidth="1"/>
    <col min="4358" max="4358" width="12.28515625" style="1" customWidth="1"/>
    <col min="4359" max="4359" width="10.28515625" style="1" customWidth="1"/>
    <col min="4360" max="4360" width="11.28515625" style="1" customWidth="1"/>
    <col min="4361" max="4361" width="12.28515625" style="1" customWidth="1"/>
    <col min="4362" max="4372" width="9.140625" style="1" hidden="1" customWidth="1"/>
    <col min="4373" max="4608" width="9.140625" style="1"/>
    <col min="4609" max="4609" width="28.7109375" style="1" customWidth="1"/>
    <col min="4610" max="4610" width="9.42578125" style="1" customWidth="1"/>
    <col min="4611" max="4611" width="10.5703125" style="1" bestFit="1" customWidth="1"/>
    <col min="4612" max="4612" width="9.7109375" style="1" customWidth="1"/>
    <col min="4613" max="4613" width="11.140625" style="1" customWidth="1"/>
    <col min="4614" max="4614" width="12.28515625" style="1" customWidth="1"/>
    <col min="4615" max="4615" width="10.28515625" style="1" customWidth="1"/>
    <col min="4616" max="4616" width="11.28515625" style="1" customWidth="1"/>
    <col min="4617" max="4617" width="12.28515625" style="1" customWidth="1"/>
    <col min="4618" max="4628" width="9.140625" style="1" hidden="1" customWidth="1"/>
    <col min="4629" max="4864" width="9.140625" style="1"/>
    <col min="4865" max="4865" width="28.7109375" style="1" customWidth="1"/>
    <col min="4866" max="4866" width="9.42578125" style="1" customWidth="1"/>
    <col min="4867" max="4867" width="10.5703125" style="1" bestFit="1" customWidth="1"/>
    <col min="4868" max="4868" width="9.7109375" style="1" customWidth="1"/>
    <col min="4869" max="4869" width="11.140625" style="1" customWidth="1"/>
    <col min="4870" max="4870" width="12.28515625" style="1" customWidth="1"/>
    <col min="4871" max="4871" width="10.28515625" style="1" customWidth="1"/>
    <col min="4872" max="4872" width="11.28515625" style="1" customWidth="1"/>
    <col min="4873" max="4873" width="12.28515625" style="1" customWidth="1"/>
    <col min="4874" max="4884" width="9.140625" style="1" hidden="1" customWidth="1"/>
    <col min="4885" max="5120" width="9.140625" style="1"/>
    <col min="5121" max="5121" width="28.7109375" style="1" customWidth="1"/>
    <col min="5122" max="5122" width="9.42578125" style="1" customWidth="1"/>
    <col min="5123" max="5123" width="10.5703125" style="1" bestFit="1" customWidth="1"/>
    <col min="5124" max="5124" width="9.7109375" style="1" customWidth="1"/>
    <col min="5125" max="5125" width="11.140625" style="1" customWidth="1"/>
    <col min="5126" max="5126" width="12.28515625" style="1" customWidth="1"/>
    <col min="5127" max="5127" width="10.28515625" style="1" customWidth="1"/>
    <col min="5128" max="5128" width="11.28515625" style="1" customWidth="1"/>
    <col min="5129" max="5129" width="12.28515625" style="1" customWidth="1"/>
    <col min="5130" max="5140" width="9.140625" style="1" hidden="1" customWidth="1"/>
    <col min="5141" max="5376" width="9.140625" style="1"/>
    <col min="5377" max="5377" width="28.7109375" style="1" customWidth="1"/>
    <col min="5378" max="5378" width="9.42578125" style="1" customWidth="1"/>
    <col min="5379" max="5379" width="10.5703125" style="1" bestFit="1" customWidth="1"/>
    <col min="5380" max="5380" width="9.7109375" style="1" customWidth="1"/>
    <col min="5381" max="5381" width="11.140625" style="1" customWidth="1"/>
    <col min="5382" max="5382" width="12.28515625" style="1" customWidth="1"/>
    <col min="5383" max="5383" width="10.28515625" style="1" customWidth="1"/>
    <col min="5384" max="5384" width="11.28515625" style="1" customWidth="1"/>
    <col min="5385" max="5385" width="12.28515625" style="1" customWidth="1"/>
    <col min="5386" max="5396" width="9.140625" style="1" hidden="1" customWidth="1"/>
    <col min="5397" max="5632" width="9.140625" style="1"/>
    <col min="5633" max="5633" width="28.7109375" style="1" customWidth="1"/>
    <col min="5634" max="5634" width="9.42578125" style="1" customWidth="1"/>
    <col min="5635" max="5635" width="10.5703125" style="1" bestFit="1" customWidth="1"/>
    <col min="5636" max="5636" width="9.7109375" style="1" customWidth="1"/>
    <col min="5637" max="5637" width="11.140625" style="1" customWidth="1"/>
    <col min="5638" max="5638" width="12.28515625" style="1" customWidth="1"/>
    <col min="5639" max="5639" width="10.28515625" style="1" customWidth="1"/>
    <col min="5640" max="5640" width="11.28515625" style="1" customWidth="1"/>
    <col min="5641" max="5641" width="12.28515625" style="1" customWidth="1"/>
    <col min="5642" max="5652" width="9.140625" style="1" hidden="1" customWidth="1"/>
    <col min="5653" max="5888" width="9.140625" style="1"/>
    <col min="5889" max="5889" width="28.7109375" style="1" customWidth="1"/>
    <col min="5890" max="5890" width="9.42578125" style="1" customWidth="1"/>
    <col min="5891" max="5891" width="10.5703125" style="1" bestFit="1" customWidth="1"/>
    <col min="5892" max="5892" width="9.7109375" style="1" customWidth="1"/>
    <col min="5893" max="5893" width="11.140625" style="1" customWidth="1"/>
    <col min="5894" max="5894" width="12.28515625" style="1" customWidth="1"/>
    <col min="5895" max="5895" width="10.28515625" style="1" customWidth="1"/>
    <col min="5896" max="5896" width="11.28515625" style="1" customWidth="1"/>
    <col min="5897" max="5897" width="12.28515625" style="1" customWidth="1"/>
    <col min="5898" max="5908" width="9.140625" style="1" hidden="1" customWidth="1"/>
    <col min="5909" max="6144" width="9.140625" style="1"/>
    <col min="6145" max="6145" width="28.7109375" style="1" customWidth="1"/>
    <col min="6146" max="6146" width="9.42578125" style="1" customWidth="1"/>
    <col min="6147" max="6147" width="10.5703125" style="1" bestFit="1" customWidth="1"/>
    <col min="6148" max="6148" width="9.7109375" style="1" customWidth="1"/>
    <col min="6149" max="6149" width="11.140625" style="1" customWidth="1"/>
    <col min="6150" max="6150" width="12.28515625" style="1" customWidth="1"/>
    <col min="6151" max="6151" width="10.28515625" style="1" customWidth="1"/>
    <col min="6152" max="6152" width="11.28515625" style="1" customWidth="1"/>
    <col min="6153" max="6153" width="12.28515625" style="1" customWidth="1"/>
    <col min="6154" max="6164" width="9.140625" style="1" hidden="1" customWidth="1"/>
    <col min="6165" max="6400" width="9.140625" style="1"/>
    <col min="6401" max="6401" width="28.7109375" style="1" customWidth="1"/>
    <col min="6402" max="6402" width="9.42578125" style="1" customWidth="1"/>
    <col min="6403" max="6403" width="10.5703125" style="1" bestFit="1" customWidth="1"/>
    <col min="6404" max="6404" width="9.7109375" style="1" customWidth="1"/>
    <col min="6405" max="6405" width="11.140625" style="1" customWidth="1"/>
    <col min="6406" max="6406" width="12.28515625" style="1" customWidth="1"/>
    <col min="6407" max="6407" width="10.28515625" style="1" customWidth="1"/>
    <col min="6408" max="6408" width="11.28515625" style="1" customWidth="1"/>
    <col min="6409" max="6409" width="12.28515625" style="1" customWidth="1"/>
    <col min="6410" max="6420" width="9.140625" style="1" hidden="1" customWidth="1"/>
    <col min="6421" max="6656" width="9.140625" style="1"/>
    <col min="6657" max="6657" width="28.7109375" style="1" customWidth="1"/>
    <col min="6658" max="6658" width="9.42578125" style="1" customWidth="1"/>
    <col min="6659" max="6659" width="10.5703125" style="1" bestFit="1" customWidth="1"/>
    <col min="6660" max="6660" width="9.7109375" style="1" customWidth="1"/>
    <col min="6661" max="6661" width="11.140625" style="1" customWidth="1"/>
    <col min="6662" max="6662" width="12.28515625" style="1" customWidth="1"/>
    <col min="6663" max="6663" width="10.28515625" style="1" customWidth="1"/>
    <col min="6664" max="6664" width="11.28515625" style="1" customWidth="1"/>
    <col min="6665" max="6665" width="12.28515625" style="1" customWidth="1"/>
    <col min="6666" max="6676" width="9.140625" style="1" hidden="1" customWidth="1"/>
    <col min="6677" max="6912" width="9.140625" style="1"/>
    <col min="6913" max="6913" width="28.7109375" style="1" customWidth="1"/>
    <col min="6914" max="6914" width="9.42578125" style="1" customWidth="1"/>
    <col min="6915" max="6915" width="10.5703125" style="1" bestFit="1" customWidth="1"/>
    <col min="6916" max="6916" width="9.7109375" style="1" customWidth="1"/>
    <col min="6917" max="6917" width="11.140625" style="1" customWidth="1"/>
    <col min="6918" max="6918" width="12.28515625" style="1" customWidth="1"/>
    <col min="6919" max="6919" width="10.28515625" style="1" customWidth="1"/>
    <col min="6920" max="6920" width="11.28515625" style="1" customWidth="1"/>
    <col min="6921" max="6921" width="12.28515625" style="1" customWidth="1"/>
    <col min="6922" max="6932" width="9.140625" style="1" hidden="1" customWidth="1"/>
    <col min="6933" max="7168" width="9.140625" style="1"/>
    <col min="7169" max="7169" width="28.7109375" style="1" customWidth="1"/>
    <col min="7170" max="7170" width="9.42578125" style="1" customWidth="1"/>
    <col min="7171" max="7171" width="10.5703125" style="1" bestFit="1" customWidth="1"/>
    <col min="7172" max="7172" width="9.7109375" style="1" customWidth="1"/>
    <col min="7173" max="7173" width="11.140625" style="1" customWidth="1"/>
    <col min="7174" max="7174" width="12.28515625" style="1" customWidth="1"/>
    <col min="7175" max="7175" width="10.28515625" style="1" customWidth="1"/>
    <col min="7176" max="7176" width="11.28515625" style="1" customWidth="1"/>
    <col min="7177" max="7177" width="12.28515625" style="1" customWidth="1"/>
    <col min="7178" max="7188" width="9.140625" style="1" hidden="1" customWidth="1"/>
    <col min="7189" max="7424" width="9.140625" style="1"/>
    <col min="7425" max="7425" width="28.7109375" style="1" customWidth="1"/>
    <col min="7426" max="7426" width="9.42578125" style="1" customWidth="1"/>
    <col min="7427" max="7427" width="10.5703125" style="1" bestFit="1" customWidth="1"/>
    <col min="7428" max="7428" width="9.7109375" style="1" customWidth="1"/>
    <col min="7429" max="7429" width="11.140625" style="1" customWidth="1"/>
    <col min="7430" max="7430" width="12.28515625" style="1" customWidth="1"/>
    <col min="7431" max="7431" width="10.28515625" style="1" customWidth="1"/>
    <col min="7432" max="7432" width="11.28515625" style="1" customWidth="1"/>
    <col min="7433" max="7433" width="12.28515625" style="1" customWidth="1"/>
    <col min="7434" max="7444" width="9.140625" style="1" hidden="1" customWidth="1"/>
    <col min="7445" max="7680" width="9.140625" style="1"/>
    <col min="7681" max="7681" width="28.7109375" style="1" customWidth="1"/>
    <col min="7682" max="7682" width="9.42578125" style="1" customWidth="1"/>
    <col min="7683" max="7683" width="10.5703125" style="1" bestFit="1" customWidth="1"/>
    <col min="7684" max="7684" width="9.7109375" style="1" customWidth="1"/>
    <col min="7685" max="7685" width="11.140625" style="1" customWidth="1"/>
    <col min="7686" max="7686" width="12.28515625" style="1" customWidth="1"/>
    <col min="7687" max="7687" width="10.28515625" style="1" customWidth="1"/>
    <col min="7688" max="7688" width="11.28515625" style="1" customWidth="1"/>
    <col min="7689" max="7689" width="12.28515625" style="1" customWidth="1"/>
    <col min="7690" max="7700" width="9.140625" style="1" hidden="1" customWidth="1"/>
    <col min="7701" max="7936" width="9.140625" style="1"/>
    <col min="7937" max="7937" width="28.7109375" style="1" customWidth="1"/>
    <col min="7938" max="7938" width="9.42578125" style="1" customWidth="1"/>
    <col min="7939" max="7939" width="10.5703125" style="1" bestFit="1" customWidth="1"/>
    <col min="7940" max="7940" width="9.7109375" style="1" customWidth="1"/>
    <col min="7941" max="7941" width="11.140625" style="1" customWidth="1"/>
    <col min="7942" max="7942" width="12.28515625" style="1" customWidth="1"/>
    <col min="7943" max="7943" width="10.28515625" style="1" customWidth="1"/>
    <col min="7944" max="7944" width="11.28515625" style="1" customWidth="1"/>
    <col min="7945" max="7945" width="12.28515625" style="1" customWidth="1"/>
    <col min="7946" max="7956" width="9.140625" style="1" hidden="1" customWidth="1"/>
    <col min="7957" max="8192" width="9.140625" style="1"/>
    <col min="8193" max="8193" width="28.7109375" style="1" customWidth="1"/>
    <col min="8194" max="8194" width="9.42578125" style="1" customWidth="1"/>
    <col min="8195" max="8195" width="10.5703125" style="1" bestFit="1" customWidth="1"/>
    <col min="8196" max="8196" width="9.7109375" style="1" customWidth="1"/>
    <col min="8197" max="8197" width="11.140625" style="1" customWidth="1"/>
    <col min="8198" max="8198" width="12.28515625" style="1" customWidth="1"/>
    <col min="8199" max="8199" width="10.28515625" style="1" customWidth="1"/>
    <col min="8200" max="8200" width="11.28515625" style="1" customWidth="1"/>
    <col min="8201" max="8201" width="12.28515625" style="1" customWidth="1"/>
    <col min="8202" max="8212" width="9.140625" style="1" hidden="1" customWidth="1"/>
    <col min="8213" max="8448" width="9.140625" style="1"/>
    <col min="8449" max="8449" width="28.7109375" style="1" customWidth="1"/>
    <col min="8450" max="8450" width="9.42578125" style="1" customWidth="1"/>
    <col min="8451" max="8451" width="10.5703125" style="1" bestFit="1" customWidth="1"/>
    <col min="8452" max="8452" width="9.7109375" style="1" customWidth="1"/>
    <col min="8453" max="8453" width="11.140625" style="1" customWidth="1"/>
    <col min="8454" max="8454" width="12.28515625" style="1" customWidth="1"/>
    <col min="8455" max="8455" width="10.28515625" style="1" customWidth="1"/>
    <col min="8456" max="8456" width="11.28515625" style="1" customWidth="1"/>
    <col min="8457" max="8457" width="12.28515625" style="1" customWidth="1"/>
    <col min="8458" max="8468" width="9.140625" style="1" hidden="1" customWidth="1"/>
    <col min="8469" max="8704" width="9.140625" style="1"/>
    <col min="8705" max="8705" width="28.7109375" style="1" customWidth="1"/>
    <col min="8706" max="8706" width="9.42578125" style="1" customWidth="1"/>
    <col min="8707" max="8707" width="10.5703125" style="1" bestFit="1" customWidth="1"/>
    <col min="8708" max="8708" width="9.7109375" style="1" customWidth="1"/>
    <col min="8709" max="8709" width="11.140625" style="1" customWidth="1"/>
    <col min="8710" max="8710" width="12.28515625" style="1" customWidth="1"/>
    <col min="8711" max="8711" width="10.28515625" style="1" customWidth="1"/>
    <col min="8712" max="8712" width="11.28515625" style="1" customWidth="1"/>
    <col min="8713" max="8713" width="12.28515625" style="1" customWidth="1"/>
    <col min="8714" max="8724" width="9.140625" style="1" hidden="1" customWidth="1"/>
    <col min="8725" max="8960" width="9.140625" style="1"/>
    <col min="8961" max="8961" width="28.7109375" style="1" customWidth="1"/>
    <col min="8962" max="8962" width="9.42578125" style="1" customWidth="1"/>
    <col min="8963" max="8963" width="10.5703125" style="1" bestFit="1" customWidth="1"/>
    <col min="8964" max="8964" width="9.7109375" style="1" customWidth="1"/>
    <col min="8965" max="8965" width="11.140625" style="1" customWidth="1"/>
    <col min="8966" max="8966" width="12.28515625" style="1" customWidth="1"/>
    <col min="8967" max="8967" width="10.28515625" style="1" customWidth="1"/>
    <col min="8968" max="8968" width="11.28515625" style="1" customWidth="1"/>
    <col min="8969" max="8969" width="12.28515625" style="1" customWidth="1"/>
    <col min="8970" max="8980" width="9.140625" style="1" hidden="1" customWidth="1"/>
    <col min="8981" max="9216" width="9.140625" style="1"/>
    <col min="9217" max="9217" width="28.7109375" style="1" customWidth="1"/>
    <col min="9218" max="9218" width="9.42578125" style="1" customWidth="1"/>
    <col min="9219" max="9219" width="10.5703125" style="1" bestFit="1" customWidth="1"/>
    <col min="9220" max="9220" width="9.7109375" style="1" customWidth="1"/>
    <col min="9221" max="9221" width="11.140625" style="1" customWidth="1"/>
    <col min="9222" max="9222" width="12.28515625" style="1" customWidth="1"/>
    <col min="9223" max="9223" width="10.28515625" style="1" customWidth="1"/>
    <col min="9224" max="9224" width="11.28515625" style="1" customWidth="1"/>
    <col min="9225" max="9225" width="12.28515625" style="1" customWidth="1"/>
    <col min="9226" max="9236" width="9.140625" style="1" hidden="1" customWidth="1"/>
    <col min="9237" max="9472" width="9.140625" style="1"/>
    <col min="9473" max="9473" width="28.7109375" style="1" customWidth="1"/>
    <col min="9474" max="9474" width="9.42578125" style="1" customWidth="1"/>
    <col min="9475" max="9475" width="10.5703125" style="1" bestFit="1" customWidth="1"/>
    <col min="9476" max="9476" width="9.7109375" style="1" customWidth="1"/>
    <col min="9477" max="9477" width="11.140625" style="1" customWidth="1"/>
    <col min="9478" max="9478" width="12.28515625" style="1" customWidth="1"/>
    <col min="9479" max="9479" width="10.28515625" style="1" customWidth="1"/>
    <col min="9480" max="9480" width="11.28515625" style="1" customWidth="1"/>
    <col min="9481" max="9481" width="12.28515625" style="1" customWidth="1"/>
    <col min="9482" max="9492" width="9.140625" style="1" hidden="1" customWidth="1"/>
    <col min="9493" max="9728" width="9.140625" style="1"/>
    <col min="9729" max="9729" width="28.7109375" style="1" customWidth="1"/>
    <col min="9730" max="9730" width="9.42578125" style="1" customWidth="1"/>
    <col min="9731" max="9731" width="10.5703125" style="1" bestFit="1" customWidth="1"/>
    <col min="9732" max="9732" width="9.7109375" style="1" customWidth="1"/>
    <col min="9733" max="9733" width="11.140625" style="1" customWidth="1"/>
    <col min="9734" max="9734" width="12.28515625" style="1" customWidth="1"/>
    <col min="9735" max="9735" width="10.28515625" style="1" customWidth="1"/>
    <col min="9736" max="9736" width="11.28515625" style="1" customWidth="1"/>
    <col min="9737" max="9737" width="12.28515625" style="1" customWidth="1"/>
    <col min="9738" max="9748" width="9.140625" style="1" hidden="1" customWidth="1"/>
    <col min="9749" max="9984" width="9.140625" style="1"/>
    <col min="9985" max="9985" width="28.7109375" style="1" customWidth="1"/>
    <col min="9986" max="9986" width="9.42578125" style="1" customWidth="1"/>
    <col min="9987" max="9987" width="10.5703125" style="1" bestFit="1" customWidth="1"/>
    <col min="9988" max="9988" width="9.7109375" style="1" customWidth="1"/>
    <col min="9989" max="9989" width="11.140625" style="1" customWidth="1"/>
    <col min="9990" max="9990" width="12.28515625" style="1" customWidth="1"/>
    <col min="9991" max="9991" width="10.28515625" style="1" customWidth="1"/>
    <col min="9992" max="9992" width="11.28515625" style="1" customWidth="1"/>
    <col min="9993" max="9993" width="12.28515625" style="1" customWidth="1"/>
    <col min="9994" max="10004" width="9.140625" style="1" hidden="1" customWidth="1"/>
    <col min="10005" max="10240" width="9.140625" style="1"/>
    <col min="10241" max="10241" width="28.7109375" style="1" customWidth="1"/>
    <col min="10242" max="10242" width="9.42578125" style="1" customWidth="1"/>
    <col min="10243" max="10243" width="10.5703125" style="1" bestFit="1" customWidth="1"/>
    <col min="10244" max="10244" width="9.7109375" style="1" customWidth="1"/>
    <col min="10245" max="10245" width="11.140625" style="1" customWidth="1"/>
    <col min="10246" max="10246" width="12.28515625" style="1" customWidth="1"/>
    <col min="10247" max="10247" width="10.28515625" style="1" customWidth="1"/>
    <col min="10248" max="10248" width="11.28515625" style="1" customWidth="1"/>
    <col min="10249" max="10249" width="12.28515625" style="1" customWidth="1"/>
    <col min="10250" max="10260" width="9.140625" style="1" hidden="1" customWidth="1"/>
    <col min="10261" max="10496" width="9.140625" style="1"/>
    <col min="10497" max="10497" width="28.7109375" style="1" customWidth="1"/>
    <col min="10498" max="10498" width="9.42578125" style="1" customWidth="1"/>
    <col min="10499" max="10499" width="10.5703125" style="1" bestFit="1" customWidth="1"/>
    <col min="10500" max="10500" width="9.7109375" style="1" customWidth="1"/>
    <col min="10501" max="10501" width="11.140625" style="1" customWidth="1"/>
    <col min="10502" max="10502" width="12.28515625" style="1" customWidth="1"/>
    <col min="10503" max="10503" width="10.28515625" style="1" customWidth="1"/>
    <col min="10504" max="10504" width="11.28515625" style="1" customWidth="1"/>
    <col min="10505" max="10505" width="12.28515625" style="1" customWidth="1"/>
    <col min="10506" max="10516" width="9.140625" style="1" hidden="1" customWidth="1"/>
    <col min="10517" max="10752" width="9.140625" style="1"/>
    <col min="10753" max="10753" width="28.7109375" style="1" customWidth="1"/>
    <col min="10754" max="10754" width="9.42578125" style="1" customWidth="1"/>
    <col min="10755" max="10755" width="10.5703125" style="1" bestFit="1" customWidth="1"/>
    <col min="10756" max="10756" width="9.7109375" style="1" customWidth="1"/>
    <col min="10757" max="10757" width="11.140625" style="1" customWidth="1"/>
    <col min="10758" max="10758" width="12.28515625" style="1" customWidth="1"/>
    <col min="10759" max="10759" width="10.28515625" style="1" customWidth="1"/>
    <col min="10760" max="10760" width="11.28515625" style="1" customWidth="1"/>
    <col min="10761" max="10761" width="12.28515625" style="1" customWidth="1"/>
    <col min="10762" max="10772" width="9.140625" style="1" hidden="1" customWidth="1"/>
    <col min="10773" max="11008" width="9.140625" style="1"/>
    <col min="11009" max="11009" width="28.7109375" style="1" customWidth="1"/>
    <col min="11010" max="11010" width="9.42578125" style="1" customWidth="1"/>
    <col min="11011" max="11011" width="10.5703125" style="1" bestFit="1" customWidth="1"/>
    <col min="11012" max="11012" width="9.7109375" style="1" customWidth="1"/>
    <col min="11013" max="11013" width="11.140625" style="1" customWidth="1"/>
    <col min="11014" max="11014" width="12.28515625" style="1" customWidth="1"/>
    <col min="11015" max="11015" width="10.28515625" style="1" customWidth="1"/>
    <col min="11016" max="11016" width="11.28515625" style="1" customWidth="1"/>
    <col min="11017" max="11017" width="12.28515625" style="1" customWidth="1"/>
    <col min="11018" max="11028" width="9.140625" style="1" hidden="1" customWidth="1"/>
    <col min="11029" max="11264" width="9.140625" style="1"/>
    <col min="11265" max="11265" width="28.7109375" style="1" customWidth="1"/>
    <col min="11266" max="11266" width="9.42578125" style="1" customWidth="1"/>
    <col min="11267" max="11267" width="10.5703125" style="1" bestFit="1" customWidth="1"/>
    <col min="11268" max="11268" width="9.7109375" style="1" customWidth="1"/>
    <col min="11269" max="11269" width="11.140625" style="1" customWidth="1"/>
    <col min="11270" max="11270" width="12.28515625" style="1" customWidth="1"/>
    <col min="11271" max="11271" width="10.28515625" style="1" customWidth="1"/>
    <col min="11272" max="11272" width="11.28515625" style="1" customWidth="1"/>
    <col min="11273" max="11273" width="12.28515625" style="1" customWidth="1"/>
    <col min="11274" max="11284" width="9.140625" style="1" hidden="1" customWidth="1"/>
    <col min="11285" max="11520" width="9.140625" style="1"/>
    <col min="11521" max="11521" width="28.7109375" style="1" customWidth="1"/>
    <col min="11522" max="11522" width="9.42578125" style="1" customWidth="1"/>
    <col min="11523" max="11523" width="10.5703125" style="1" bestFit="1" customWidth="1"/>
    <col min="11524" max="11524" width="9.7109375" style="1" customWidth="1"/>
    <col min="11525" max="11525" width="11.140625" style="1" customWidth="1"/>
    <col min="11526" max="11526" width="12.28515625" style="1" customWidth="1"/>
    <col min="11527" max="11527" width="10.28515625" style="1" customWidth="1"/>
    <col min="11528" max="11528" width="11.28515625" style="1" customWidth="1"/>
    <col min="11529" max="11529" width="12.28515625" style="1" customWidth="1"/>
    <col min="11530" max="11540" width="9.140625" style="1" hidden="1" customWidth="1"/>
    <col min="11541" max="11776" width="9.140625" style="1"/>
    <col min="11777" max="11777" width="28.7109375" style="1" customWidth="1"/>
    <col min="11778" max="11778" width="9.42578125" style="1" customWidth="1"/>
    <col min="11779" max="11779" width="10.5703125" style="1" bestFit="1" customWidth="1"/>
    <col min="11780" max="11780" width="9.7109375" style="1" customWidth="1"/>
    <col min="11781" max="11781" width="11.140625" style="1" customWidth="1"/>
    <col min="11782" max="11782" width="12.28515625" style="1" customWidth="1"/>
    <col min="11783" max="11783" width="10.28515625" style="1" customWidth="1"/>
    <col min="11784" max="11784" width="11.28515625" style="1" customWidth="1"/>
    <col min="11785" max="11785" width="12.28515625" style="1" customWidth="1"/>
    <col min="11786" max="11796" width="9.140625" style="1" hidden="1" customWidth="1"/>
    <col min="11797" max="12032" width="9.140625" style="1"/>
    <col min="12033" max="12033" width="28.7109375" style="1" customWidth="1"/>
    <col min="12034" max="12034" width="9.42578125" style="1" customWidth="1"/>
    <col min="12035" max="12035" width="10.5703125" style="1" bestFit="1" customWidth="1"/>
    <col min="12036" max="12036" width="9.7109375" style="1" customWidth="1"/>
    <col min="12037" max="12037" width="11.140625" style="1" customWidth="1"/>
    <col min="12038" max="12038" width="12.28515625" style="1" customWidth="1"/>
    <col min="12039" max="12039" width="10.28515625" style="1" customWidth="1"/>
    <col min="12040" max="12040" width="11.28515625" style="1" customWidth="1"/>
    <col min="12041" max="12041" width="12.28515625" style="1" customWidth="1"/>
    <col min="12042" max="12052" width="9.140625" style="1" hidden="1" customWidth="1"/>
    <col min="12053" max="12288" width="9.140625" style="1"/>
    <col min="12289" max="12289" width="28.7109375" style="1" customWidth="1"/>
    <col min="12290" max="12290" width="9.42578125" style="1" customWidth="1"/>
    <col min="12291" max="12291" width="10.5703125" style="1" bestFit="1" customWidth="1"/>
    <col min="12292" max="12292" width="9.7109375" style="1" customWidth="1"/>
    <col min="12293" max="12293" width="11.140625" style="1" customWidth="1"/>
    <col min="12294" max="12294" width="12.28515625" style="1" customWidth="1"/>
    <col min="12295" max="12295" width="10.28515625" style="1" customWidth="1"/>
    <col min="12296" max="12296" width="11.28515625" style="1" customWidth="1"/>
    <col min="12297" max="12297" width="12.28515625" style="1" customWidth="1"/>
    <col min="12298" max="12308" width="9.140625" style="1" hidden="1" customWidth="1"/>
    <col min="12309" max="12544" width="9.140625" style="1"/>
    <col min="12545" max="12545" width="28.7109375" style="1" customWidth="1"/>
    <col min="12546" max="12546" width="9.42578125" style="1" customWidth="1"/>
    <col min="12547" max="12547" width="10.5703125" style="1" bestFit="1" customWidth="1"/>
    <col min="12548" max="12548" width="9.7109375" style="1" customWidth="1"/>
    <col min="12549" max="12549" width="11.140625" style="1" customWidth="1"/>
    <col min="12550" max="12550" width="12.28515625" style="1" customWidth="1"/>
    <col min="12551" max="12551" width="10.28515625" style="1" customWidth="1"/>
    <col min="12552" max="12552" width="11.28515625" style="1" customWidth="1"/>
    <col min="12553" max="12553" width="12.28515625" style="1" customWidth="1"/>
    <col min="12554" max="12564" width="9.140625" style="1" hidden="1" customWidth="1"/>
    <col min="12565" max="12800" width="9.140625" style="1"/>
    <col min="12801" max="12801" width="28.7109375" style="1" customWidth="1"/>
    <col min="12802" max="12802" width="9.42578125" style="1" customWidth="1"/>
    <col min="12803" max="12803" width="10.5703125" style="1" bestFit="1" customWidth="1"/>
    <col min="12804" max="12804" width="9.7109375" style="1" customWidth="1"/>
    <col min="12805" max="12805" width="11.140625" style="1" customWidth="1"/>
    <col min="12806" max="12806" width="12.28515625" style="1" customWidth="1"/>
    <col min="12807" max="12807" width="10.28515625" style="1" customWidth="1"/>
    <col min="12808" max="12808" width="11.28515625" style="1" customWidth="1"/>
    <col min="12809" max="12809" width="12.28515625" style="1" customWidth="1"/>
    <col min="12810" max="12820" width="9.140625" style="1" hidden="1" customWidth="1"/>
    <col min="12821" max="13056" width="9.140625" style="1"/>
    <col min="13057" max="13057" width="28.7109375" style="1" customWidth="1"/>
    <col min="13058" max="13058" width="9.42578125" style="1" customWidth="1"/>
    <col min="13059" max="13059" width="10.5703125" style="1" bestFit="1" customWidth="1"/>
    <col min="13060" max="13060" width="9.7109375" style="1" customWidth="1"/>
    <col min="13061" max="13061" width="11.140625" style="1" customWidth="1"/>
    <col min="13062" max="13062" width="12.28515625" style="1" customWidth="1"/>
    <col min="13063" max="13063" width="10.28515625" style="1" customWidth="1"/>
    <col min="13064" max="13064" width="11.28515625" style="1" customWidth="1"/>
    <col min="13065" max="13065" width="12.28515625" style="1" customWidth="1"/>
    <col min="13066" max="13076" width="9.140625" style="1" hidden="1" customWidth="1"/>
    <col min="13077" max="13312" width="9.140625" style="1"/>
    <col min="13313" max="13313" width="28.7109375" style="1" customWidth="1"/>
    <col min="13314" max="13314" width="9.42578125" style="1" customWidth="1"/>
    <col min="13315" max="13315" width="10.5703125" style="1" bestFit="1" customWidth="1"/>
    <col min="13316" max="13316" width="9.7109375" style="1" customWidth="1"/>
    <col min="13317" max="13317" width="11.140625" style="1" customWidth="1"/>
    <col min="13318" max="13318" width="12.28515625" style="1" customWidth="1"/>
    <col min="13319" max="13319" width="10.28515625" style="1" customWidth="1"/>
    <col min="13320" max="13320" width="11.28515625" style="1" customWidth="1"/>
    <col min="13321" max="13321" width="12.28515625" style="1" customWidth="1"/>
    <col min="13322" max="13332" width="9.140625" style="1" hidden="1" customWidth="1"/>
    <col min="13333" max="13568" width="9.140625" style="1"/>
    <col min="13569" max="13569" width="28.7109375" style="1" customWidth="1"/>
    <col min="13570" max="13570" width="9.42578125" style="1" customWidth="1"/>
    <col min="13571" max="13571" width="10.5703125" style="1" bestFit="1" customWidth="1"/>
    <col min="13572" max="13572" width="9.7109375" style="1" customWidth="1"/>
    <col min="13573" max="13573" width="11.140625" style="1" customWidth="1"/>
    <col min="13574" max="13574" width="12.28515625" style="1" customWidth="1"/>
    <col min="13575" max="13575" width="10.28515625" style="1" customWidth="1"/>
    <col min="13576" max="13576" width="11.28515625" style="1" customWidth="1"/>
    <col min="13577" max="13577" width="12.28515625" style="1" customWidth="1"/>
    <col min="13578" max="13588" width="9.140625" style="1" hidden="1" customWidth="1"/>
    <col min="13589" max="13824" width="9.140625" style="1"/>
    <col min="13825" max="13825" width="28.7109375" style="1" customWidth="1"/>
    <col min="13826" max="13826" width="9.42578125" style="1" customWidth="1"/>
    <col min="13827" max="13827" width="10.5703125" style="1" bestFit="1" customWidth="1"/>
    <col min="13828" max="13828" width="9.7109375" style="1" customWidth="1"/>
    <col min="13829" max="13829" width="11.140625" style="1" customWidth="1"/>
    <col min="13830" max="13830" width="12.28515625" style="1" customWidth="1"/>
    <col min="13831" max="13831" width="10.28515625" style="1" customWidth="1"/>
    <col min="13832" max="13832" width="11.28515625" style="1" customWidth="1"/>
    <col min="13833" max="13833" width="12.28515625" style="1" customWidth="1"/>
    <col min="13834" max="13844" width="9.140625" style="1" hidden="1" customWidth="1"/>
    <col min="13845" max="14080" width="9.140625" style="1"/>
    <col min="14081" max="14081" width="28.7109375" style="1" customWidth="1"/>
    <col min="14082" max="14082" width="9.42578125" style="1" customWidth="1"/>
    <col min="14083" max="14083" width="10.5703125" style="1" bestFit="1" customWidth="1"/>
    <col min="14084" max="14084" width="9.7109375" style="1" customWidth="1"/>
    <col min="14085" max="14085" width="11.140625" style="1" customWidth="1"/>
    <col min="14086" max="14086" width="12.28515625" style="1" customWidth="1"/>
    <col min="14087" max="14087" width="10.28515625" style="1" customWidth="1"/>
    <col min="14088" max="14088" width="11.28515625" style="1" customWidth="1"/>
    <col min="14089" max="14089" width="12.28515625" style="1" customWidth="1"/>
    <col min="14090" max="14100" width="9.140625" style="1" hidden="1" customWidth="1"/>
    <col min="14101" max="14336" width="9.140625" style="1"/>
    <col min="14337" max="14337" width="28.7109375" style="1" customWidth="1"/>
    <col min="14338" max="14338" width="9.42578125" style="1" customWidth="1"/>
    <col min="14339" max="14339" width="10.5703125" style="1" bestFit="1" customWidth="1"/>
    <col min="14340" max="14340" width="9.7109375" style="1" customWidth="1"/>
    <col min="14341" max="14341" width="11.140625" style="1" customWidth="1"/>
    <col min="14342" max="14342" width="12.28515625" style="1" customWidth="1"/>
    <col min="14343" max="14343" width="10.28515625" style="1" customWidth="1"/>
    <col min="14344" max="14344" width="11.28515625" style="1" customWidth="1"/>
    <col min="14345" max="14345" width="12.28515625" style="1" customWidth="1"/>
    <col min="14346" max="14356" width="9.140625" style="1" hidden="1" customWidth="1"/>
    <col min="14357" max="14592" width="9.140625" style="1"/>
    <col min="14593" max="14593" width="28.7109375" style="1" customWidth="1"/>
    <col min="14594" max="14594" width="9.42578125" style="1" customWidth="1"/>
    <col min="14595" max="14595" width="10.5703125" style="1" bestFit="1" customWidth="1"/>
    <col min="14596" max="14596" width="9.7109375" style="1" customWidth="1"/>
    <col min="14597" max="14597" width="11.140625" style="1" customWidth="1"/>
    <col min="14598" max="14598" width="12.28515625" style="1" customWidth="1"/>
    <col min="14599" max="14599" width="10.28515625" style="1" customWidth="1"/>
    <col min="14600" max="14600" width="11.28515625" style="1" customWidth="1"/>
    <col min="14601" max="14601" width="12.28515625" style="1" customWidth="1"/>
    <col min="14602" max="14612" width="9.140625" style="1" hidden="1" customWidth="1"/>
    <col min="14613" max="14848" width="9.140625" style="1"/>
    <col min="14849" max="14849" width="28.7109375" style="1" customWidth="1"/>
    <col min="14850" max="14850" width="9.42578125" style="1" customWidth="1"/>
    <col min="14851" max="14851" width="10.5703125" style="1" bestFit="1" customWidth="1"/>
    <col min="14852" max="14852" width="9.7109375" style="1" customWidth="1"/>
    <col min="14853" max="14853" width="11.140625" style="1" customWidth="1"/>
    <col min="14854" max="14854" width="12.28515625" style="1" customWidth="1"/>
    <col min="14855" max="14855" width="10.28515625" style="1" customWidth="1"/>
    <col min="14856" max="14856" width="11.28515625" style="1" customWidth="1"/>
    <col min="14857" max="14857" width="12.28515625" style="1" customWidth="1"/>
    <col min="14858" max="14868" width="9.140625" style="1" hidden="1" customWidth="1"/>
    <col min="14869" max="15104" width="9.140625" style="1"/>
    <col min="15105" max="15105" width="28.7109375" style="1" customWidth="1"/>
    <col min="15106" max="15106" width="9.42578125" style="1" customWidth="1"/>
    <col min="15107" max="15107" width="10.5703125" style="1" bestFit="1" customWidth="1"/>
    <col min="15108" max="15108" width="9.7109375" style="1" customWidth="1"/>
    <col min="15109" max="15109" width="11.140625" style="1" customWidth="1"/>
    <col min="15110" max="15110" width="12.28515625" style="1" customWidth="1"/>
    <col min="15111" max="15111" width="10.28515625" style="1" customWidth="1"/>
    <col min="15112" max="15112" width="11.28515625" style="1" customWidth="1"/>
    <col min="15113" max="15113" width="12.28515625" style="1" customWidth="1"/>
    <col min="15114" max="15124" width="9.140625" style="1" hidden="1" customWidth="1"/>
    <col min="15125" max="15360" width="9.140625" style="1"/>
    <col min="15361" max="15361" width="28.7109375" style="1" customWidth="1"/>
    <col min="15362" max="15362" width="9.42578125" style="1" customWidth="1"/>
    <col min="15363" max="15363" width="10.5703125" style="1" bestFit="1" customWidth="1"/>
    <col min="15364" max="15364" width="9.7109375" style="1" customWidth="1"/>
    <col min="15365" max="15365" width="11.140625" style="1" customWidth="1"/>
    <col min="15366" max="15366" width="12.28515625" style="1" customWidth="1"/>
    <col min="15367" max="15367" width="10.28515625" style="1" customWidth="1"/>
    <col min="15368" max="15368" width="11.28515625" style="1" customWidth="1"/>
    <col min="15369" max="15369" width="12.28515625" style="1" customWidth="1"/>
    <col min="15370" max="15380" width="9.140625" style="1" hidden="1" customWidth="1"/>
    <col min="15381" max="15616" width="9.140625" style="1"/>
    <col min="15617" max="15617" width="28.7109375" style="1" customWidth="1"/>
    <col min="15618" max="15618" width="9.42578125" style="1" customWidth="1"/>
    <col min="15619" max="15619" width="10.5703125" style="1" bestFit="1" customWidth="1"/>
    <col min="15620" max="15620" width="9.7109375" style="1" customWidth="1"/>
    <col min="15621" max="15621" width="11.140625" style="1" customWidth="1"/>
    <col min="15622" max="15622" width="12.28515625" style="1" customWidth="1"/>
    <col min="15623" max="15623" width="10.28515625" style="1" customWidth="1"/>
    <col min="15624" max="15624" width="11.28515625" style="1" customWidth="1"/>
    <col min="15625" max="15625" width="12.28515625" style="1" customWidth="1"/>
    <col min="15626" max="15636" width="9.140625" style="1" hidden="1" customWidth="1"/>
    <col min="15637" max="15872" width="9.140625" style="1"/>
    <col min="15873" max="15873" width="28.7109375" style="1" customWidth="1"/>
    <col min="15874" max="15874" width="9.42578125" style="1" customWidth="1"/>
    <col min="15875" max="15875" width="10.5703125" style="1" bestFit="1" customWidth="1"/>
    <col min="15876" max="15876" width="9.7109375" style="1" customWidth="1"/>
    <col min="15877" max="15877" width="11.140625" style="1" customWidth="1"/>
    <col min="15878" max="15878" width="12.28515625" style="1" customWidth="1"/>
    <col min="15879" max="15879" width="10.28515625" style="1" customWidth="1"/>
    <col min="15880" max="15880" width="11.28515625" style="1" customWidth="1"/>
    <col min="15881" max="15881" width="12.28515625" style="1" customWidth="1"/>
    <col min="15882" max="15892" width="9.140625" style="1" hidden="1" customWidth="1"/>
    <col min="15893" max="16128" width="9.140625" style="1"/>
    <col min="16129" max="16129" width="28.7109375" style="1" customWidth="1"/>
    <col min="16130" max="16130" width="9.42578125" style="1" customWidth="1"/>
    <col min="16131" max="16131" width="10.5703125" style="1" bestFit="1" customWidth="1"/>
    <col min="16132" max="16132" width="9.7109375" style="1" customWidth="1"/>
    <col min="16133" max="16133" width="11.140625" style="1" customWidth="1"/>
    <col min="16134" max="16134" width="12.28515625" style="1" customWidth="1"/>
    <col min="16135" max="16135" width="10.28515625" style="1" customWidth="1"/>
    <col min="16136" max="16136" width="11.28515625" style="1" customWidth="1"/>
    <col min="16137" max="16137" width="12.28515625" style="1" customWidth="1"/>
    <col min="16138" max="16148" width="9.140625" style="1" hidden="1" customWidth="1"/>
    <col min="16149" max="16384" width="9.140625" style="1"/>
  </cols>
  <sheetData>
    <row r="1" spans="1:27" ht="15.75" x14ac:dyDescent="0.25">
      <c r="A1" s="570" t="s">
        <v>3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570"/>
      <c r="T1" s="570"/>
    </row>
    <row r="2" spans="1:27" ht="15.75" x14ac:dyDescent="0.25">
      <c r="A2" s="2"/>
      <c r="B2" s="3"/>
      <c r="C2" s="3"/>
      <c r="D2" s="3"/>
      <c r="E2" s="3"/>
      <c r="F2" s="3"/>
      <c r="G2" s="3"/>
      <c r="H2" s="3"/>
      <c r="I2" s="4"/>
      <c r="J2" s="3"/>
      <c r="K2" s="3"/>
      <c r="L2" s="4"/>
      <c r="M2" s="3"/>
      <c r="N2" s="3"/>
      <c r="O2" s="4"/>
      <c r="P2" s="4"/>
      <c r="Q2" s="3"/>
      <c r="R2" s="3"/>
      <c r="S2" s="3"/>
      <c r="T2" s="4"/>
      <c r="V2" s="1">
        <v>0.20978156178204815</v>
      </c>
      <c r="W2" s="1">
        <v>6.7001932595772057E-2</v>
      </c>
      <c r="X2" s="1">
        <v>0.11226255633959058</v>
      </c>
      <c r="Y2" s="1">
        <v>0.34504092410384801</v>
      </c>
      <c r="Z2" s="1">
        <v>9.8410959169971668E-2</v>
      </c>
      <c r="AA2" s="1">
        <v>0.16750206600876957</v>
      </c>
    </row>
    <row r="3" spans="1:27" ht="15.75" thickBot="1" x14ac:dyDescent="0.3">
      <c r="A3" s="5"/>
      <c r="B3" s="6"/>
      <c r="C3" s="6"/>
      <c r="D3" s="6"/>
      <c r="E3" s="6"/>
      <c r="F3" s="6"/>
      <c r="G3" s="6"/>
      <c r="H3" s="6"/>
      <c r="I3" s="7"/>
      <c r="J3" s="6"/>
      <c r="K3" s="6"/>
      <c r="L3" s="7"/>
      <c r="M3" s="6"/>
      <c r="N3" s="6"/>
      <c r="O3" s="7"/>
      <c r="P3" s="7"/>
      <c r="Q3" s="6"/>
      <c r="R3" s="6"/>
      <c r="S3" s="6"/>
      <c r="T3" s="7"/>
    </row>
    <row r="4" spans="1:27" ht="16.5" thickBot="1" x14ac:dyDescent="0.3">
      <c r="A4" s="8" t="s">
        <v>4</v>
      </c>
      <c r="B4" s="571" t="s">
        <v>5</v>
      </c>
      <c r="C4" s="572"/>
      <c r="D4" s="572"/>
      <c r="E4" s="572"/>
      <c r="F4" s="572"/>
      <c r="G4" s="572"/>
      <c r="H4" s="572"/>
      <c r="I4" s="573"/>
      <c r="J4" s="574" t="s">
        <v>6</v>
      </c>
      <c r="K4" s="575"/>
      <c r="L4" s="576"/>
      <c r="M4" s="574" t="s">
        <v>7</v>
      </c>
      <c r="N4" s="575"/>
      <c r="O4" s="576"/>
      <c r="P4" s="8" t="s">
        <v>8</v>
      </c>
      <c r="Q4" s="574" t="s">
        <v>9</v>
      </c>
      <c r="R4" s="575"/>
      <c r="S4" s="576"/>
      <c r="T4" s="9"/>
    </row>
    <row r="5" spans="1:27" ht="15.75" x14ac:dyDescent="0.25">
      <c r="A5" s="10"/>
      <c r="B5" s="11" t="s">
        <v>10</v>
      </c>
      <c r="C5" s="12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4" t="s">
        <v>16</v>
      </c>
      <c r="I5" s="15" t="s">
        <v>17</v>
      </c>
      <c r="J5" s="12" t="s">
        <v>18</v>
      </c>
      <c r="K5" s="14" t="s">
        <v>19</v>
      </c>
      <c r="L5" s="15" t="s">
        <v>20</v>
      </c>
      <c r="M5" s="12" t="s">
        <v>21</v>
      </c>
      <c r="N5" s="14" t="s">
        <v>22</v>
      </c>
      <c r="O5" s="15" t="s">
        <v>20</v>
      </c>
      <c r="P5" s="16" t="s">
        <v>23</v>
      </c>
      <c r="Q5" s="12" t="s">
        <v>24</v>
      </c>
      <c r="R5" s="14" t="s">
        <v>25</v>
      </c>
      <c r="S5" s="17" t="s">
        <v>20</v>
      </c>
      <c r="T5" s="16" t="s">
        <v>26</v>
      </c>
    </row>
    <row r="6" spans="1:27" ht="15.75" x14ac:dyDescent="0.25">
      <c r="A6" s="577" t="s">
        <v>27</v>
      </c>
      <c r="B6" s="578"/>
      <c r="C6" s="578"/>
      <c r="D6" s="578"/>
      <c r="E6" s="578"/>
      <c r="F6" s="578"/>
      <c r="G6" s="578"/>
      <c r="H6" s="578"/>
      <c r="I6" s="579"/>
      <c r="J6" s="18"/>
      <c r="K6" s="18"/>
      <c r="L6" s="18"/>
      <c r="M6" s="18"/>
      <c r="N6" s="18"/>
      <c r="O6" s="18"/>
      <c r="P6" s="18"/>
      <c r="Q6" s="18"/>
      <c r="R6" s="18"/>
      <c r="S6" s="18"/>
      <c r="T6" s="19"/>
    </row>
    <row r="7" spans="1:27" ht="31.15" customHeight="1" x14ac:dyDescent="0.25">
      <c r="A7" s="20" t="s">
        <v>28</v>
      </c>
      <c r="B7" s="21" t="s">
        <v>29</v>
      </c>
      <c r="C7" s="22">
        <v>1.6400000000000001E-2</v>
      </c>
      <c r="D7" s="23">
        <v>1.6400000000000001E-2</v>
      </c>
      <c r="E7" s="23">
        <v>1.6400000000000001E-2</v>
      </c>
      <c r="F7" s="23">
        <v>1.6400000000000001E-2</v>
      </c>
      <c r="G7" s="23">
        <v>1.6400000000000001E-2</v>
      </c>
      <c r="H7" s="24">
        <v>1.6400000000000001E-2</v>
      </c>
      <c r="I7" s="25"/>
      <c r="J7" s="26">
        <v>1.6400000000000001E-2</v>
      </c>
      <c r="K7" s="27">
        <v>1.6400000000000001E-2</v>
      </c>
      <c r="L7" s="28"/>
      <c r="M7" s="29">
        <v>1.6400000000000001E-2</v>
      </c>
      <c r="N7" s="27">
        <v>1.6400000000000001E-2</v>
      </c>
      <c r="O7" s="30"/>
      <c r="P7" s="31">
        <v>1.6400000000000001E-2</v>
      </c>
      <c r="Q7" s="29">
        <v>1.6400000000000001E-2</v>
      </c>
      <c r="R7" s="27">
        <v>1.6400000000000001E-2</v>
      </c>
      <c r="S7" s="30"/>
      <c r="T7" s="32"/>
    </row>
    <row r="8" spans="1:27" ht="15.75" x14ac:dyDescent="0.25">
      <c r="A8" s="33" t="s">
        <v>30</v>
      </c>
      <c r="B8" s="34" t="s">
        <v>31</v>
      </c>
      <c r="C8" s="35" t="e">
        <f>C7*C9</f>
        <v>#REF!</v>
      </c>
      <c r="D8" s="36"/>
      <c r="E8" s="36"/>
      <c r="F8" s="36"/>
      <c r="G8" s="36"/>
      <c r="H8" s="37"/>
      <c r="I8" s="36" t="e">
        <f>SUM(C8:H8)</f>
        <v>#REF!</v>
      </c>
      <c r="J8" s="38">
        <f>J7*J9</f>
        <v>75.206578261843845</v>
      </c>
      <c r="K8" s="39">
        <f>K7*K9</f>
        <v>26.595199172347012</v>
      </c>
      <c r="L8" s="40">
        <f>SUM(J8:K8)</f>
        <v>101.80177743419085</v>
      </c>
      <c r="M8" s="35">
        <f>M7*M9</f>
        <v>52.559905284109</v>
      </c>
      <c r="N8" s="39">
        <f>N7*N9</f>
        <v>28.456616021546949</v>
      </c>
      <c r="O8" s="41">
        <f>SUM(M8:N8)</f>
        <v>81.016521305655942</v>
      </c>
      <c r="P8" s="42">
        <f>P7*P9</f>
        <v>53.517604825160006</v>
      </c>
      <c r="Q8" s="35">
        <f>Q7*Q9</f>
        <v>18.843990380359863</v>
      </c>
      <c r="R8" s="39">
        <f>R7*R9</f>
        <v>33.266818450665411</v>
      </c>
      <c r="S8" s="41">
        <f>SUM(Q8:R8)</f>
        <v>52.110808831025274</v>
      </c>
      <c r="T8" s="43" t="e">
        <f>I8+L8+O8+P8+S8</f>
        <v>#REF!</v>
      </c>
    </row>
    <row r="9" spans="1:27" ht="15.75" x14ac:dyDescent="0.25">
      <c r="A9" s="44" t="s">
        <v>32</v>
      </c>
      <c r="B9" s="45" t="s">
        <v>33</v>
      </c>
      <c r="C9" s="46" t="e">
        <f>V2*I9</f>
        <v>#REF!</v>
      </c>
      <c r="D9" s="47" t="e">
        <f>I9*W2</f>
        <v>#REF!</v>
      </c>
      <c r="E9" s="47" t="e">
        <f>I9*X2</f>
        <v>#REF!</v>
      </c>
      <c r="F9" s="47" t="e">
        <f>I9*Y2</f>
        <v>#REF!</v>
      </c>
      <c r="G9" s="47" t="e">
        <f>I9*Z2</f>
        <v>#REF!</v>
      </c>
      <c r="H9" s="48" t="e">
        <f>I9*AA2</f>
        <v>#REF!</v>
      </c>
      <c r="I9" s="49" t="e">
        <f>#REF!</f>
        <v>#REF!</v>
      </c>
      <c r="J9" s="50">
        <f>'[1]расчет объема'!$G$14</f>
        <v>4585.7669671856002</v>
      </c>
      <c r="K9" s="51">
        <f>'[1]расчет объема'!$G$16</f>
        <v>1621.65848611872</v>
      </c>
      <c r="L9" s="52">
        <f>SUM(J9:K9)</f>
        <v>6207.4254533043204</v>
      </c>
      <c r="M9" s="46">
        <f>'[1]расчет объема'!$G$19</f>
        <v>3204.8722734212802</v>
      </c>
      <c r="N9" s="51">
        <f>'[1]расчет объема'!$G$20</f>
        <v>1735.1595135089601</v>
      </c>
      <c r="O9" s="53">
        <f>SUM(M9:N9)</f>
        <v>4940.0317869302398</v>
      </c>
      <c r="P9" s="54">
        <f>'[1]расчет объема'!$G$23</f>
        <v>3263.2685869000002</v>
      </c>
      <c r="Q9" s="46">
        <f>'[1]расчет объема'!$G$25</f>
        <v>1149.0238036804794</v>
      </c>
      <c r="R9" s="51">
        <f>'[1]расчет объема'!$G$26</f>
        <v>2028.4645396747198</v>
      </c>
      <c r="S9" s="53">
        <f>SUM(Q9:R9)</f>
        <v>3177.4883433551995</v>
      </c>
      <c r="T9" s="43" t="e">
        <f>I9+L9+O9+P9+S9</f>
        <v>#REF!</v>
      </c>
    </row>
    <row r="10" spans="1:27" ht="33" customHeight="1" x14ac:dyDescent="0.25">
      <c r="A10" s="55" t="s">
        <v>34</v>
      </c>
      <c r="B10" s="45" t="s">
        <v>29</v>
      </c>
      <c r="C10" s="56">
        <v>2.4E-2</v>
      </c>
      <c r="D10" s="56">
        <v>2.4E-2</v>
      </c>
      <c r="E10" s="56">
        <v>2.4E-2</v>
      </c>
      <c r="F10" s="56">
        <v>2.4E-2</v>
      </c>
      <c r="G10" s="56">
        <v>2.4E-2</v>
      </c>
      <c r="H10" s="56">
        <v>2.4E-2</v>
      </c>
      <c r="I10" s="59"/>
      <c r="J10" s="60">
        <v>2.0400000000000001E-2</v>
      </c>
      <c r="K10" s="61">
        <v>2.0400000000000001E-2</v>
      </c>
      <c r="L10" s="62"/>
      <c r="M10" s="56">
        <v>2.0400000000000001E-2</v>
      </c>
      <c r="N10" s="61">
        <v>2.0400000000000001E-2</v>
      </c>
      <c r="O10" s="63"/>
      <c r="P10" s="64">
        <v>2.0400000000000001E-2</v>
      </c>
      <c r="Q10" s="56">
        <v>2.0400000000000001E-2</v>
      </c>
      <c r="R10" s="61">
        <v>2.0400000000000001E-2</v>
      </c>
      <c r="S10" s="63"/>
      <c r="T10" s="65"/>
    </row>
    <row r="11" spans="1:27" ht="31.5" x14ac:dyDescent="0.25">
      <c r="A11" s="55" t="s">
        <v>35</v>
      </c>
      <c r="B11" s="45" t="s">
        <v>36</v>
      </c>
      <c r="C11" s="56">
        <v>12.9</v>
      </c>
      <c r="D11" s="57">
        <v>12.9</v>
      </c>
      <c r="E11" s="57">
        <v>12.9</v>
      </c>
      <c r="F11" s="57">
        <v>12.9</v>
      </c>
      <c r="G11" s="57">
        <v>12.9</v>
      </c>
      <c r="H11" s="58">
        <v>12.9</v>
      </c>
      <c r="I11" s="66"/>
      <c r="J11" s="67">
        <v>18</v>
      </c>
      <c r="K11" s="68">
        <v>18</v>
      </c>
      <c r="L11" s="69">
        <v>18</v>
      </c>
      <c r="M11" s="70">
        <v>18</v>
      </c>
      <c r="N11" s="68">
        <v>18</v>
      </c>
      <c r="O11" s="67">
        <v>18</v>
      </c>
      <c r="P11" s="71">
        <v>18</v>
      </c>
      <c r="Q11" s="70">
        <v>18</v>
      </c>
      <c r="R11" s="68">
        <v>18</v>
      </c>
      <c r="S11" s="67">
        <v>18</v>
      </c>
      <c r="T11" s="72">
        <v>18</v>
      </c>
    </row>
    <row r="12" spans="1:27" ht="15.75" x14ac:dyDescent="0.25">
      <c r="A12" s="44" t="s">
        <v>37</v>
      </c>
      <c r="B12" s="45" t="s">
        <v>33</v>
      </c>
      <c r="C12" s="73" t="e">
        <f>C9*C11/100</f>
        <v>#REF!</v>
      </c>
      <c r="D12" s="74" t="e">
        <f t="shared" ref="D12:K12" si="0">D9*D11/100</f>
        <v>#REF!</v>
      </c>
      <c r="E12" s="74" t="e">
        <f t="shared" si="0"/>
        <v>#REF!</v>
      </c>
      <c r="F12" s="74" t="e">
        <f t="shared" si="0"/>
        <v>#REF!</v>
      </c>
      <c r="G12" s="74" t="e">
        <f t="shared" si="0"/>
        <v>#REF!</v>
      </c>
      <c r="H12" s="75" t="e">
        <f t="shared" si="0"/>
        <v>#REF!</v>
      </c>
      <c r="I12" s="76" t="e">
        <f>SUM(C12:H12)</f>
        <v>#REF!</v>
      </c>
      <c r="J12" s="77">
        <f t="shared" si="0"/>
        <v>825.43805409340803</v>
      </c>
      <c r="K12" s="78">
        <f t="shared" si="0"/>
        <v>291.89852750136959</v>
      </c>
      <c r="L12" s="40">
        <f>SUM(J12:K12)</f>
        <v>1117.3365815947777</v>
      </c>
      <c r="M12" s="73">
        <f>M9*M11/100</f>
        <v>576.87700921583041</v>
      </c>
      <c r="N12" s="78">
        <f>N9*N11/100</f>
        <v>312.32871243161281</v>
      </c>
      <c r="O12" s="41">
        <f>SUM(M12:N12)</f>
        <v>889.20572164744317</v>
      </c>
      <c r="P12" s="42">
        <f>P9*P11/100</f>
        <v>587.3883456420001</v>
      </c>
      <c r="Q12" s="73">
        <f>Q9*Q11/100</f>
        <v>206.82428466248632</v>
      </c>
      <c r="R12" s="78">
        <f>R9*R11/100</f>
        <v>365.12361714144959</v>
      </c>
      <c r="S12" s="41">
        <f>SUM(Q12:R12)</f>
        <v>571.94790180393591</v>
      </c>
      <c r="T12" s="43" t="e">
        <f>I12+L12+O12+P12+S12</f>
        <v>#REF!</v>
      </c>
    </row>
    <row r="13" spans="1:27" ht="49.9" customHeight="1" x14ac:dyDescent="0.2">
      <c r="A13" s="79" t="s">
        <v>38</v>
      </c>
      <c r="B13" s="64" t="s">
        <v>31</v>
      </c>
      <c r="C13" s="80" t="e">
        <f>C10*C12</f>
        <v>#REF!</v>
      </c>
      <c r="D13" s="81" t="e">
        <f t="shared" ref="D13:K13" si="1">D10*D12</f>
        <v>#REF!</v>
      </c>
      <c r="E13" s="81" t="e">
        <f t="shared" si="1"/>
        <v>#REF!</v>
      </c>
      <c r="F13" s="81" t="e">
        <f t="shared" si="1"/>
        <v>#REF!</v>
      </c>
      <c r="G13" s="81" t="e">
        <f t="shared" si="1"/>
        <v>#REF!</v>
      </c>
      <c r="H13" s="82" t="e">
        <f t="shared" si="1"/>
        <v>#REF!</v>
      </c>
      <c r="I13" s="76" t="e">
        <f>SUM(C13:H13)</f>
        <v>#REF!</v>
      </c>
      <c r="J13" s="83">
        <f t="shared" si="1"/>
        <v>16.838936303505523</v>
      </c>
      <c r="K13" s="84">
        <f t="shared" si="1"/>
        <v>5.9547299610279403</v>
      </c>
      <c r="L13" s="85">
        <f>SUM(J13:K13)</f>
        <v>22.793666264533464</v>
      </c>
      <c r="M13" s="80">
        <f>M10*M12</f>
        <v>11.768290988002942</v>
      </c>
      <c r="N13" s="84">
        <f>N10*N12</f>
        <v>6.3715057336049021</v>
      </c>
      <c r="O13" s="86">
        <f>SUM(M13:N13)</f>
        <v>18.139796721607844</v>
      </c>
      <c r="P13" s="87">
        <f>P10*P12</f>
        <v>11.982722251096803</v>
      </c>
      <c r="Q13" s="80">
        <f>Q10*Q12</f>
        <v>4.2192154071147216</v>
      </c>
      <c r="R13" s="84">
        <f>R10*R12</f>
        <v>7.4485217896855724</v>
      </c>
      <c r="S13" s="86">
        <f>SUM(Q13:R13)</f>
        <v>11.667737196800294</v>
      </c>
      <c r="T13" s="88" t="e">
        <f>I13+L13+O13+P13+S13</f>
        <v>#REF!</v>
      </c>
    </row>
    <row r="14" spans="1:27" ht="15.75" x14ac:dyDescent="0.25">
      <c r="A14" s="44" t="s">
        <v>39</v>
      </c>
      <c r="B14" s="45" t="s">
        <v>40</v>
      </c>
      <c r="C14" s="70">
        <f>[2]гуртовка!B16/1.2</f>
        <v>4684.5</v>
      </c>
      <c r="D14" s="89">
        <f>C14</f>
        <v>4684.5</v>
      </c>
      <c r="E14" s="89">
        <f>D14</f>
        <v>4684.5</v>
      </c>
      <c r="F14" s="89">
        <f>E14</f>
        <v>4684.5</v>
      </c>
      <c r="G14" s="89">
        <f>F14</f>
        <v>4684.5</v>
      </c>
      <c r="H14" s="89">
        <f>G14</f>
        <v>4684.5</v>
      </c>
      <c r="I14" s="90"/>
      <c r="J14" s="67">
        <v>5400</v>
      </c>
      <c r="K14" s="68">
        <v>5400</v>
      </c>
      <c r="L14" s="69">
        <v>5400</v>
      </c>
      <c r="M14" s="70">
        <v>5400</v>
      </c>
      <c r="N14" s="68">
        <v>5400</v>
      </c>
      <c r="O14" s="67">
        <v>5400</v>
      </c>
      <c r="P14" s="71">
        <v>5400</v>
      </c>
      <c r="Q14" s="70">
        <v>5400</v>
      </c>
      <c r="R14" s="68">
        <v>5400</v>
      </c>
      <c r="S14" s="67">
        <v>5400</v>
      </c>
      <c r="T14" s="72">
        <v>5400</v>
      </c>
    </row>
    <row r="15" spans="1:27" ht="16.5" thickBot="1" x14ac:dyDescent="0.3">
      <c r="A15" s="91" t="s">
        <v>41</v>
      </c>
      <c r="B15" s="92" t="s">
        <v>31</v>
      </c>
      <c r="C15" s="93" t="e">
        <f t="shared" ref="C15:H15" si="2">C8+C13</f>
        <v>#REF!</v>
      </c>
      <c r="D15" s="94" t="e">
        <f t="shared" si="2"/>
        <v>#REF!</v>
      </c>
      <c r="E15" s="94" t="e">
        <f t="shared" si="2"/>
        <v>#REF!</v>
      </c>
      <c r="F15" s="94" t="e">
        <f t="shared" si="2"/>
        <v>#REF!</v>
      </c>
      <c r="G15" s="94" t="e">
        <f t="shared" si="2"/>
        <v>#REF!</v>
      </c>
      <c r="H15" s="95" t="e">
        <f t="shared" si="2"/>
        <v>#REF!</v>
      </c>
      <c r="I15" s="76" t="e">
        <f>SUM(C15:H15)</f>
        <v>#REF!</v>
      </c>
      <c r="J15" s="96">
        <f t="shared" ref="J15:R15" si="3">J8+J13</f>
        <v>92.045514565349364</v>
      </c>
      <c r="K15" s="97">
        <f t="shared" si="3"/>
        <v>32.549929133374953</v>
      </c>
      <c r="L15" s="98">
        <f>SUM(J15:K15)</f>
        <v>124.59544369872432</v>
      </c>
      <c r="M15" s="93">
        <f t="shared" si="3"/>
        <v>64.328196272111938</v>
      </c>
      <c r="N15" s="97">
        <f t="shared" si="3"/>
        <v>34.828121755151855</v>
      </c>
      <c r="O15" s="99">
        <f>SUM(M15:N15)</f>
        <v>99.156318027263794</v>
      </c>
      <c r="P15" s="100">
        <f t="shared" si="3"/>
        <v>65.500327076256809</v>
      </c>
      <c r="Q15" s="93">
        <f t="shared" si="3"/>
        <v>23.063205787474583</v>
      </c>
      <c r="R15" s="97">
        <f t="shared" si="3"/>
        <v>40.715340240350983</v>
      </c>
      <c r="S15" s="99">
        <f>SUM(Q15:R15)</f>
        <v>63.77854602782557</v>
      </c>
      <c r="T15" s="101" t="e">
        <f>I15+L15+O15+P15+S15</f>
        <v>#REF!</v>
      </c>
    </row>
    <row r="16" spans="1:27" ht="32.25" thickBot="1" x14ac:dyDescent="0.3">
      <c r="A16" s="102" t="s">
        <v>42</v>
      </c>
      <c r="B16" s="103" t="s">
        <v>43</v>
      </c>
      <c r="C16" s="104" t="e">
        <f t="shared" ref="C16:H16" si="4">(C15)*C14/1000</f>
        <v>#REF!</v>
      </c>
      <c r="D16" s="104" t="e">
        <f t="shared" si="4"/>
        <v>#REF!</v>
      </c>
      <c r="E16" s="104" t="e">
        <f t="shared" si="4"/>
        <v>#REF!</v>
      </c>
      <c r="F16" s="104" t="e">
        <f t="shared" si="4"/>
        <v>#REF!</v>
      </c>
      <c r="G16" s="104" t="e">
        <f t="shared" si="4"/>
        <v>#REF!</v>
      </c>
      <c r="H16" s="104" t="e">
        <f t="shared" si="4"/>
        <v>#REF!</v>
      </c>
      <c r="I16" s="76" t="e">
        <f>SUM(C16:H16)</f>
        <v>#REF!</v>
      </c>
      <c r="J16" s="105">
        <f t="shared" ref="J16:R16" si="5">(J8+J13)*J14/1000</f>
        <v>497.04577865288655</v>
      </c>
      <c r="K16" s="106">
        <f t="shared" si="5"/>
        <v>175.76961732022474</v>
      </c>
      <c r="L16" s="107">
        <f>SUM(J16:K16)</f>
        <v>672.81539597311132</v>
      </c>
      <c r="M16" s="108">
        <f t="shared" si="5"/>
        <v>347.3722598694045</v>
      </c>
      <c r="N16" s="109">
        <f t="shared" si="5"/>
        <v>188.07185747782</v>
      </c>
      <c r="O16" s="107">
        <f>SUM(M16:N16)</f>
        <v>535.44411734722451</v>
      </c>
      <c r="P16" s="110">
        <f t="shared" si="5"/>
        <v>353.70176621178678</v>
      </c>
      <c r="Q16" s="108">
        <f t="shared" si="5"/>
        <v>124.54131125236275</v>
      </c>
      <c r="R16" s="109">
        <f t="shared" si="5"/>
        <v>219.86283729789531</v>
      </c>
      <c r="S16" s="107">
        <f>SUM(Q16:R16)</f>
        <v>344.40414855025807</v>
      </c>
      <c r="T16" s="107" t="e">
        <f>I16+L16+O16+P16+S16</f>
        <v>#REF!</v>
      </c>
    </row>
    <row r="17" spans="1:20" ht="16.5" thickBot="1" x14ac:dyDescent="0.3">
      <c r="A17" s="560" t="s">
        <v>1</v>
      </c>
      <c r="B17" s="561"/>
      <c r="C17" s="562"/>
      <c r="D17" s="562"/>
      <c r="E17" s="562"/>
      <c r="F17" s="562"/>
      <c r="G17" s="562"/>
      <c r="H17" s="562"/>
      <c r="I17" s="561"/>
      <c r="J17" s="562"/>
      <c r="K17" s="562"/>
      <c r="L17" s="561"/>
      <c r="M17" s="561"/>
      <c r="N17" s="561"/>
      <c r="O17" s="561"/>
      <c r="P17" s="561"/>
      <c r="Q17" s="562"/>
      <c r="R17" s="562"/>
      <c r="S17" s="561"/>
      <c r="T17" s="563"/>
    </row>
    <row r="18" spans="1:20" ht="15.75" x14ac:dyDescent="0.25">
      <c r="A18" s="111" t="s">
        <v>1</v>
      </c>
      <c r="B18" s="112" t="s">
        <v>31</v>
      </c>
      <c r="C18" s="113" t="e">
        <f>C28*C29</f>
        <v>#REF!</v>
      </c>
      <c r="D18" s="114" t="e">
        <f t="shared" ref="D18:H18" si="6">D28*D29</f>
        <v>#REF!</v>
      </c>
      <c r="E18" s="114" t="e">
        <f t="shared" si="6"/>
        <v>#REF!</v>
      </c>
      <c r="F18" s="114" t="e">
        <f t="shared" si="6"/>
        <v>#REF!</v>
      </c>
      <c r="G18" s="114" t="e">
        <f t="shared" si="6"/>
        <v>#REF!</v>
      </c>
      <c r="H18" s="115" t="e">
        <f t="shared" si="6"/>
        <v>#REF!</v>
      </c>
      <c r="I18" s="76" t="e">
        <f>SUM(C18:H18)</f>
        <v>#REF!</v>
      </c>
      <c r="J18" s="116">
        <f t="shared" ref="J18:R18" si="7">J28*J29</f>
        <v>61.451897798554</v>
      </c>
      <c r="K18" s="117">
        <f t="shared" si="7"/>
        <v>21.73115037598291</v>
      </c>
      <c r="L18" s="118">
        <f>SUM(J18:K18)</f>
        <v>83.183048174536907</v>
      </c>
      <c r="M18" s="119">
        <f t="shared" si="7"/>
        <v>28.525194589034207</v>
      </c>
      <c r="N18" s="117">
        <f>N28*N29</f>
        <v>12.841171919688309</v>
      </c>
      <c r="O18" s="118">
        <f>SUM(M18:N18)</f>
        <v>41.366366508722514</v>
      </c>
      <c r="P18" s="119">
        <f t="shared" si="7"/>
        <v>314.68637561679793</v>
      </c>
      <c r="Q18" s="113">
        <f t="shared" si="7"/>
        <v>10.719407210792861</v>
      </c>
      <c r="R18" s="115">
        <f t="shared" si="7"/>
        <v>20.749453556981234</v>
      </c>
      <c r="S18" s="118">
        <f>SUM(Q18:R18)</f>
        <v>31.468860767774096</v>
      </c>
      <c r="T18" s="120" t="e">
        <f>I18+L18+O18+P18+S18</f>
        <v>#REF!</v>
      </c>
    </row>
    <row r="19" spans="1:20" ht="33.6" customHeight="1" x14ac:dyDescent="0.25">
      <c r="A19" s="55" t="s">
        <v>44</v>
      </c>
      <c r="B19" s="45" t="s">
        <v>45</v>
      </c>
      <c r="C19" s="56">
        <f>1.5*2</f>
        <v>3</v>
      </c>
      <c r="D19" s="57">
        <f>1*2</f>
        <v>2</v>
      </c>
      <c r="E19" s="57">
        <f>1*2</f>
        <v>2</v>
      </c>
      <c r="F19" s="57">
        <f>3*2</f>
        <v>6</v>
      </c>
      <c r="G19" s="57">
        <f>1.5*2</f>
        <v>3</v>
      </c>
      <c r="H19" s="61">
        <f>1.5*2</f>
        <v>3</v>
      </c>
      <c r="I19" s="121"/>
      <c r="J19" s="60">
        <f>1*2</f>
        <v>2</v>
      </c>
      <c r="K19" s="58">
        <f>1*2</f>
        <v>2</v>
      </c>
      <c r="L19" s="65"/>
      <c r="M19" s="122">
        <f>1*2</f>
        <v>2</v>
      </c>
      <c r="N19" s="58">
        <v>0</v>
      </c>
      <c r="O19" s="65"/>
      <c r="P19" s="62">
        <v>0.8</v>
      </c>
      <c r="Q19" s="56">
        <v>0</v>
      </c>
      <c r="R19" s="61">
        <v>1.2</v>
      </c>
      <c r="S19" s="65"/>
      <c r="T19" s="65"/>
    </row>
    <row r="20" spans="1:20" ht="15.75" x14ac:dyDescent="0.25">
      <c r="A20" s="44" t="s">
        <v>46</v>
      </c>
      <c r="B20" s="45" t="s">
        <v>47</v>
      </c>
      <c r="C20" s="70">
        <v>24</v>
      </c>
      <c r="D20" s="89">
        <v>24</v>
      </c>
      <c r="E20" s="89">
        <v>24</v>
      </c>
      <c r="F20" s="89">
        <v>24</v>
      </c>
      <c r="G20" s="89">
        <v>24</v>
      </c>
      <c r="H20" s="68">
        <v>24</v>
      </c>
      <c r="I20" s="123"/>
      <c r="J20" s="67">
        <v>24</v>
      </c>
      <c r="K20" s="124">
        <v>24</v>
      </c>
      <c r="L20" s="125">
        <v>24</v>
      </c>
      <c r="M20" s="69">
        <v>24</v>
      </c>
      <c r="N20" s="124">
        <v>24</v>
      </c>
      <c r="O20" s="125">
        <v>24</v>
      </c>
      <c r="P20" s="126">
        <v>24</v>
      </c>
      <c r="Q20" s="70">
        <v>24</v>
      </c>
      <c r="R20" s="68">
        <v>24</v>
      </c>
      <c r="S20" s="125">
        <v>24</v>
      </c>
      <c r="T20" s="125">
        <v>24</v>
      </c>
    </row>
    <row r="21" spans="1:20" ht="42.6" customHeight="1" x14ac:dyDescent="0.25">
      <c r="A21" s="55" t="s">
        <v>48</v>
      </c>
      <c r="B21" s="45" t="s">
        <v>45</v>
      </c>
      <c r="C21" s="56">
        <f t="shared" ref="C21:H21" si="8">7*2</f>
        <v>14</v>
      </c>
      <c r="D21" s="57">
        <f t="shared" si="8"/>
        <v>14</v>
      </c>
      <c r="E21" s="57">
        <f t="shared" si="8"/>
        <v>14</v>
      </c>
      <c r="F21" s="57">
        <f t="shared" si="8"/>
        <v>14</v>
      </c>
      <c r="G21" s="57">
        <f t="shared" si="8"/>
        <v>14</v>
      </c>
      <c r="H21" s="61">
        <f t="shared" si="8"/>
        <v>14</v>
      </c>
      <c r="I21" s="123"/>
      <c r="J21" s="60">
        <f>5*2</f>
        <v>10</v>
      </c>
      <c r="K21" s="58">
        <f>5*2</f>
        <v>10</v>
      </c>
      <c r="L21" s="65"/>
      <c r="M21" s="122">
        <f>1.5*2</f>
        <v>3</v>
      </c>
      <c r="N21" s="58">
        <f>1.5*2</f>
        <v>3</v>
      </c>
      <c r="O21" s="65"/>
      <c r="P21" s="62">
        <v>5</v>
      </c>
      <c r="Q21" s="56">
        <v>6</v>
      </c>
      <c r="R21" s="61">
        <v>6</v>
      </c>
      <c r="S21" s="65"/>
      <c r="T21" s="65"/>
    </row>
    <row r="22" spans="1:20" ht="15.75" x14ac:dyDescent="0.25">
      <c r="A22" s="44" t="s">
        <v>49</v>
      </c>
      <c r="B22" s="45" t="s">
        <v>47</v>
      </c>
      <c r="C22" s="70">
        <v>28</v>
      </c>
      <c r="D22" s="89">
        <v>28</v>
      </c>
      <c r="E22" s="89">
        <v>28</v>
      </c>
      <c r="F22" s="89">
        <v>28</v>
      </c>
      <c r="G22" s="89">
        <v>28</v>
      </c>
      <c r="H22" s="68">
        <v>28</v>
      </c>
      <c r="I22" s="123"/>
      <c r="J22" s="67">
        <v>28</v>
      </c>
      <c r="K22" s="124">
        <v>28</v>
      </c>
      <c r="L22" s="125">
        <v>28</v>
      </c>
      <c r="M22" s="69">
        <v>28</v>
      </c>
      <c r="N22" s="124">
        <v>28</v>
      </c>
      <c r="O22" s="125">
        <v>28</v>
      </c>
      <c r="P22" s="126">
        <v>28</v>
      </c>
      <c r="Q22" s="70">
        <v>28</v>
      </c>
      <c r="R22" s="68">
        <v>28</v>
      </c>
      <c r="S22" s="125">
        <v>28</v>
      </c>
      <c r="T22" s="125">
        <v>28</v>
      </c>
    </row>
    <row r="23" spans="1:20" ht="15.75" x14ac:dyDescent="0.25">
      <c r="A23" s="44" t="s">
        <v>50</v>
      </c>
      <c r="B23" s="45" t="s">
        <v>51</v>
      </c>
      <c r="C23" s="73">
        <f t="shared" ref="C23:H23" si="9">(C19/C20+C21/C22)</f>
        <v>0.625</v>
      </c>
      <c r="D23" s="74">
        <f t="shared" si="9"/>
        <v>0.58333333333333337</v>
      </c>
      <c r="E23" s="74">
        <f t="shared" si="9"/>
        <v>0.58333333333333337</v>
      </c>
      <c r="F23" s="74">
        <f t="shared" si="9"/>
        <v>0.75</v>
      </c>
      <c r="G23" s="74">
        <f t="shared" si="9"/>
        <v>0.625</v>
      </c>
      <c r="H23" s="78">
        <f t="shared" si="9"/>
        <v>0.625</v>
      </c>
      <c r="I23" s="121"/>
      <c r="J23" s="77">
        <f>(J19/J20+J21/J22)</f>
        <v>0.44047619047619047</v>
      </c>
      <c r="K23" s="75">
        <f>(K19/K20+K21/K22)</f>
        <v>0.44047619047619047</v>
      </c>
      <c r="L23" s="127"/>
      <c r="M23" s="128">
        <f>(M19/M20+M21/M22)</f>
        <v>0.19047619047619047</v>
      </c>
      <c r="N23" s="75">
        <f>(N19/N20+N21/N22)</f>
        <v>0.10714285714285714</v>
      </c>
      <c r="O23" s="127"/>
      <c r="P23" s="129">
        <f>(P19/P20+P21/P22)</f>
        <v>0.2119047619047619</v>
      </c>
      <c r="Q23" s="73">
        <f>(Q19/Q20+Q21/Q22)</f>
        <v>0.21428571428571427</v>
      </c>
      <c r="R23" s="78">
        <f>(R19/R20+R21/R22)</f>
        <v>0.26428571428571429</v>
      </c>
      <c r="S23" s="127"/>
      <c r="T23" s="125"/>
    </row>
    <row r="24" spans="1:20" ht="30" customHeight="1" x14ac:dyDescent="0.2">
      <c r="A24" s="130" t="s">
        <v>52</v>
      </c>
      <c r="B24" s="45" t="s">
        <v>51</v>
      </c>
      <c r="C24" s="131">
        <f t="shared" ref="C24:H24" si="10">C10*C30</f>
        <v>0.24</v>
      </c>
      <c r="D24" s="132">
        <f t="shared" si="10"/>
        <v>0.24</v>
      </c>
      <c r="E24" s="132">
        <f t="shared" si="10"/>
        <v>0.24</v>
      </c>
      <c r="F24" s="132">
        <f t="shared" si="10"/>
        <v>0.24</v>
      </c>
      <c r="G24" s="132">
        <f t="shared" si="10"/>
        <v>0.24</v>
      </c>
      <c r="H24" s="133">
        <f t="shared" si="10"/>
        <v>0.24</v>
      </c>
      <c r="I24" s="134"/>
      <c r="J24" s="135">
        <f t="shared" ref="J24:R24" si="11">J10*J30</f>
        <v>0.20400000000000001</v>
      </c>
      <c r="K24" s="136">
        <f t="shared" si="11"/>
        <v>0.20400000000000001</v>
      </c>
      <c r="L24" s="137"/>
      <c r="M24" s="138">
        <f t="shared" si="11"/>
        <v>0.20400000000000001</v>
      </c>
      <c r="N24" s="136">
        <f t="shared" si="11"/>
        <v>0.20400000000000001</v>
      </c>
      <c r="O24" s="137"/>
      <c r="P24" s="139">
        <f t="shared" si="11"/>
        <v>0.36720000000000003</v>
      </c>
      <c r="Q24" s="131">
        <f t="shared" si="11"/>
        <v>0.20400000000000001</v>
      </c>
      <c r="R24" s="133">
        <f t="shared" si="11"/>
        <v>0.20400000000000001</v>
      </c>
      <c r="S24" s="137"/>
      <c r="T24" s="65"/>
    </row>
    <row r="25" spans="1:20" ht="31.5" x14ac:dyDescent="0.25">
      <c r="A25" s="130" t="s">
        <v>53</v>
      </c>
      <c r="B25" s="45" t="s">
        <v>51</v>
      </c>
      <c r="C25" s="131">
        <v>0.1</v>
      </c>
      <c r="D25" s="132">
        <v>0.1</v>
      </c>
      <c r="E25" s="132">
        <v>0.1</v>
      </c>
      <c r="F25" s="132">
        <v>0.1</v>
      </c>
      <c r="G25" s="132">
        <v>0.1</v>
      </c>
      <c r="H25" s="133">
        <v>0.1</v>
      </c>
      <c r="I25" s="121"/>
      <c r="J25" s="140">
        <v>0.1</v>
      </c>
      <c r="K25" s="141">
        <v>0.1</v>
      </c>
      <c r="L25" s="142"/>
      <c r="M25" s="143">
        <v>0.1</v>
      </c>
      <c r="N25" s="141">
        <v>0.1</v>
      </c>
      <c r="O25" s="142"/>
      <c r="P25" s="144">
        <v>0.1</v>
      </c>
      <c r="Q25" s="145">
        <v>0.1</v>
      </c>
      <c r="R25" s="146">
        <v>0.1</v>
      </c>
      <c r="S25" s="142"/>
      <c r="T25" s="125"/>
    </row>
    <row r="26" spans="1:20" ht="15.75" x14ac:dyDescent="0.25">
      <c r="A26" s="55" t="s">
        <v>54</v>
      </c>
      <c r="B26" s="45" t="s">
        <v>51</v>
      </c>
      <c r="C26" s="73">
        <f t="shared" ref="C26:H26" si="12">C23+C24+C25</f>
        <v>0.96499999999999997</v>
      </c>
      <c r="D26" s="74">
        <f t="shared" si="12"/>
        <v>0.92333333333333334</v>
      </c>
      <c r="E26" s="74">
        <f t="shared" si="12"/>
        <v>0.92333333333333334</v>
      </c>
      <c r="F26" s="74">
        <f t="shared" si="12"/>
        <v>1.0900000000000001</v>
      </c>
      <c r="G26" s="74">
        <f t="shared" si="12"/>
        <v>0.96499999999999997</v>
      </c>
      <c r="H26" s="78">
        <f t="shared" si="12"/>
        <v>0.96499999999999997</v>
      </c>
      <c r="I26" s="121"/>
      <c r="J26" s="77">
        <f>J23+J24+J25</f>
        <v>0.7444761904761904</v>
      </c>
      <c r="K26" s="75">
        <f>K23+K24+K25</f>
        <v>0.7444761904761904</v>
      </c>
      <c r="L26" s="127"/>
      <c r="M26" s="128">
        <f>M23+M24+M25</f>
        <v>0.49447619047619051</v>
      </c>
      <c r="N26" s="75">
        <f>N23+N24+N25</f>
        <v>0.41114285714285714</v>
      </c>
      <c r="O26" s="127"/>
      <c r="P26" s="129">
        <f>P23+P24+P25</f>
        <v>0.67910476190476188</v>
      </c>
      <c r="Q26" s="73">
        <f>Q23+Q24+Q25</f>
        <v>0.51828571428571424</v>
      </c>
      <c r="R26" s="78">
        <f>R23+R24+R25</f>
        <v>0.56828571428571428</v>
      </c>
      <c r="S26" s="127"/>
      <c r="T26" s="125"/>
    </row>
    <row r="27" spans="1:20" ht="15.75" x14ac:dyDescent="0.2">
      <c r="A27" s="147" t="s">
        <v>55</v>
      </c>
      <c r="B27" s="45" t="s">
        <v>51</v>
      </c>
      <c r="C27" s="131">
        <v>1</v>
      </c>
      <c r="D27" s="132">
        <v>1</v>
      </c>
      <c r="E27" s="132">
        <v>1</v>
      </c>
      <c r="F27" s="132">
        <v>1</v>
      </c>
      <c r="G27" s="132">
        <v>1</v>
      </c>
      <c r="H27" s="133">
        <v>1</v>
      </c>
      <c r="I27" s="121"/>
      <c r="J27" s="135">
        <v>1</v>
      </c>
      <c r="K27" s="136">
        <v>1</v>
      </c>
      <c r="L27" s="137"/>
      <c r="M27" s="138">
        <v>1</v>
      </c>
      <c r="N27" s="136">
        <v>1</v>
      </c>
      <c r="O27" s="137"/>
      <c r="P27" s="139">
        <v>14.2</v>
      </c>
      <c r="Q27" s="131">
        <v>1</v>
      </c>
      <c r="R27" s="133">
        <v>1</v>
      </c>
      <c r="S27" s="137"/>
      <c r="T27" s="65"/>
    </row>
    <row r="28" spans="1:20" ht="15.75" x14ac:dyDescent="0.25">
      <c r="A28" s="55" t="s">
        <v>54</v>
      </c>
      <c r="B28" s="45" t="s">
        <v>56</v>
      </c>
      <c r="C28" s="148">
        <f t="shared" ref="C28:H28" si="13">C26*C27</f>
        <v>0.96499999999999997</v>
      </c>
      <c r="D28" s="149">
        <f t="shared" si="13"/>
        <v>0.92333333333333334</v>
      </c>
      <c r="E28" s="149">
        <f t="shared" si="13"/>
        <v>0.92333333333333334</v>
      </c>
      <c r="F28" s="149">
        <f t="shared" si="13"/>
        <v>1.0900000000000001</v>
      </c>
      <c r="G28" s="149">
        <f t="shared" si="13"/>
        <v>0.96499999999999997</v>
      </c>
      <c r="H28" s="150">
        <f t="shared" si="13"/>
        <v>0.96499999999999997</v>
      </c>
      <c r="I28" s="121"/>
      <c r="J28" s="151">
        <f>J26*J27</f>
        <v>0.7444761904761904</v>
      </c>
      <c r="K28" s="152">
        <f>K26*K27</f>
        <v>0.7444761904761904</v>
      </c>
      <c r="L28" s="153"/>
      <c r="M28" s="154">
        <f>M26*M27</f>
        <v>0.49447619047619051</v>
      </c>
      <c r="N28" s="152">
        <f>N26*N27</f>
        <v>0.41114285714285714</v>
      </c>
      <c r="O28" s="153"/>
      <c r="P28" s="155">
        <f>P26*P27</f>
        <v>9.6432876190476176</v>
      </c>
      <c r="Q28" s="148">
        <f>Q26*Q27</f>
        <v>0.51828571428571424</v>
      </c>
      <c r="R28" s="150">
        <f>R26*R27</f>
        <v>0.56828571428571428</v>
      </c>
      <c r="S28" s="153"/>
      <c r="T28" s="125"/>
    </row>
    <row r="29" spans="1:20" ht="15.75" x14ac:dyDescent="0.2">
      <c r="A29" s="130" t="s">
        <v>57</v>
      </c>
      <c r="B29" s="45" t="s">
        <v>58</v>
      </c>
      <c r="C29" s="156" t="e">
        <f>C12/C30</f>
        <v>#REF!</v>
      </c>
      <c r="D29" s="157" t="e">
        <f t="shared" ref="D29:R29" si="14">D12/D30</f>
        <v>#REF!</v>
      </c>
      <c r="E29" s="157" t="e">
        <f t="shared" si="14"/>
        <v>#REF!</v>
      </c>
      <c r="F29" s="157" t="e">
        <f t="shared" si="14"/>
        <v>#REF!</v>
      </c>
      <c r="G29" s="157" t="e">
        <f t="shared" si="14"/>
        <v>#REF!</v>
      </c>
      <c r="H29" s="158" t="e">
        <f t="shared" si="14"/>
        <v>#REF!</v>
      </c>
      <c r="I29" s="121"/>
      <c r="J29" s="159">
        <f t="shared" si="14"/>
        <v>82.543805409340806</v>
      </c>
      <c r="K29" s="160">
        <f t="shared" si="14"/>
        <v>29.189852750136957</v>
      </c>
      <c r="L29" s="161">
        <f>SUM(J29:K29)</f>
        <v>111.73365815947776</v>
      </c>
      <c r="M29" s="162">
        <f t="shared" si="14"/>
        <v>57.687700921583044</v>
      </c>
      <c r="N29" s="160">
        <f t="shared" si="14"/>
        <v>31.232871243161281</v>
      </c>
      <c r="O29" s="161">
        <f>SUM(M29:N29)</f>
        <v>88.920572164744328</v>
      </c>
      <c r="P29" s="163">
        <f t="shared" si="14"/>
        <v>32.632685869000007</v>
      </c>
      <c r="Q29" s="156">
        <f t="shared" si="14"/>
        <v>20.682428466248631</v>
      </c>
      <c r="R29" s="158">
        <f t="shared" si="14"/>
        <v>36.512361714144959</v>
      </c>
      <c r="S29" s="161">
        <f>SUM(Q29:R29)</f>
        <v>57.194790180393589</v>
      </c>
      <c r="T29" s="88">
        <f>I29+L29+O29+P29+S29</f>
        <v>290.48170637361568</v>
      </c>
    </row>
    <row r="30" spans="1:20" ht="15.75" x14ac:dyDescent="0.25">
      <c r="A30" s="44" t="s">
        <v>59</v>
      </c>
      <c r="B30" s="45" t="s">
        <v>60</v>
      </c>
      <c r="C30" s="73">
        <v>10</v>
      </c>
      <c r="D30" s="74">
        <v>10</v>
      </c>
      <c r="E30" s="74">
        <v>10</v>
      </c>
      <c r="F30" s="74">
        <v>10</v>
      </c>
      <c r="G30" s="74">
        <v>10</v>
      </c>
      <c r="H30" s="78">
        <v>10</v>
      </c>
      <c r="I30" s="123"/>
      <c r="J30" s="77">
        <v>10</v>
      </c>
      <c r="K30" s="75">
        <v>10</v>
      </c>
      <c r="L30" s="127">
        <v>10</v>
      </c>
      <c r="M30" s="128">
        <v>10</v>
      </c>
      <c r="N30" s="75">
        <v>10</v>
      </c>
      <c r="O30" s="127">
        <v>10</v>
      </c>
      <c r="P30" s="129">
        <v>18</v>
      </c>
      <c r="Q30" s="73">
        <v>10</v>
      </c>
      <c r="R30" s="78">
        <v>10</v>
      </c>
      <c r="S30" s="127">
        <v>10</v>
      </c>
      <c r="T30" s="125">
        <v>10</v>
      </c>
    </row>
    <row r="31" spans="1:20" ht="16.5" thickBot="1" x14ac:dyDescent="0.3">
      <c r="A31" s="10" t="s">
        <v>61</v>
      </c>
      <c r="B31" s="164" t="s">
        <v>40</v>
      </c>
      <c r="C31" s="165">
        <f>[2]гуртовка!B15/1.2</f>
        <v>3903.75</v>
      </c>
      <c r="D31" s="165">
        <f>C31</f>
        <v>3903.75</v>
      </c>
      <c r="E31" s="165">
        <f>C31</f>
        <v>3903.75</v>
      </c>
      <c r="F31" s="165">
        <f>C31</f>
        <v>3903.75</v>
      </c>
      <c r="G31" s="165">
        <f>C31</f>
        <v>3903.75</v>
      </c>
      <c r="H31" s="165">
        <f>C31</f>
        <v>3903.75</v>
      </c>
      <c r="I31" s="166"/>
      <c r="J31" s="165">
        <v>4700</v>
      </c>
      <c r="K31" s="165">
        <v>4700</v>
      </c>
      <c r="L31" s="165">
        <v>4700</v>
      </c>
      <c r="M31" s="165">
        <v>4700</v>
      </c>
      <c r="N31" s="165">
        <v>4700</v>
      </c>
      <c r="O31" s="165">
        <v>4700</v>
      </c>
      <c r="P31" s="165">
        <v>4700</v>
      </c>
      <c r="Q31" s="165">
        <v>4700</v>
      </c>
      <c r="R31" s="165">
        <v>4700</v>
      </c>
      <c r="S31" s="165">
        <v>4700</v>
      </c>
      <c r="T31" s="167">
        <v>4700</v>
      </c>
    </row>
    <row r="32" spans="1:20" ht="16.5" thickBot="1" x14ac:dyDescent="0.3">
      <c r="A32" s="168" t="s">
        <v>62</v>
      </c>
      <c r="B32" s="169" t="s">
        <v>43</v>
      </c>
      <c r="C32" s="170" t="e">
        <f t="shared" ref="C32:H32" si="15">C18*C31/1000</f>
        <v>#REF!</v>
      </c>
      <c r="D32" s="171" t="e">
        <f t="shared" si="15"/>
        <v>#REF!</v>
      </c>
      <c r="E32" s="171" t="e">
        <f t="shared" si="15"/>
        <v>#REF!</v>
      </c>
      <c r="F32" s="171" t="e">
        <f t="shared" si="15"/>
        <v>#REF!</v>
      </c>
      <c r="G32" s="171" t="e">
        <f t="shared" si="15"/>
        <v>#REF!</v>
      </c>
      <c r="H32" s="172" t="e">
        <f t="shared" si="15"/>
        <v>#REF!</v>
      </c>
      <c r="I32" s="173" t="e">
        <f>SUM(C32:H32)</f>
        <v>#REF!</v>
      </c>
      <c r="J32" s="170">
        <f>J18*J31/1000</f>
        <v>288.8239196532038</v>
      </c>
      <c r="K32" s="172">
        <f>K18*K31/1000</f>
        <v>102.13640676711968</v>
      </c>
      <c r="L32" s="174">
        <f>SUM(J32:K32)</f>
        <v>390.9603264203235</v>
      </c>
      <c r="M32" s="175">
        <f>M18*M31/1000</f>
        <v>134.06841456846078</v>
      </c>
      <c r="N32" s="171">
        <f>N18*N31/1000</f>
        <v>60.353508022535053</v>
      </c>
      <c r="O32" s="176">
        <f>SUM(M32:N32)</f>
        <v>194.42192259099585</v>
      </c>
      <c r="P32" s="174">
        <f>P18*P31/1000</f>
        <v>1479.0259653989503</v>
      </c>
      <c r="Q32" s="177">
        <f>Q18*Q31/1000</f>
        <v>50.381213890726443</v>
      </c>
      <c r="R32" s="178">
        <f>R18*R31/1000</f>
        <v>97.522431717811799</v>
      </c>
      <c r="S32" s="176">
        <f>SUM(Q32:R32)</f>
        <v>147.90364560853823</v>
      </c>
      <c r="T32" s="179" t="e">
        <f>I32+L32+O32+P32+S32</f>
        <v>#REF!</v>
      </c>
    </row>
    <row r="33" spans="1:20" ht="32.25" thickBot="1" x14ac:dyDescent="0.3">
      <c r="A33" s="180" t="s">
        <v>63</v>
      </c>
      <c r="B33" s="103" t="s">
        <v>43</v>
      </c>
      <c r="C33" s="181" t="e">
        <f t="shared" ref="C33:H33" si="16">C32+C16</f>
        <v>#REF!</v>
      </c>
      <c r="D33" s="181" t="e">
        <f t="shared" si="16"/>
        <v>#REF!</v>
      </c>
      <c r="E33" s="181" t="e">
        <f t="shared" si="16"/>
        <v>#REF!</v>
      </c>
      <c r="F33" s="181" t="e">
        <f t="shared" si="16"/>
        <v>#REF!</v>
      </c>
      <c r="G33" s="181" t="e">
        <f t="shared" si="16"/>
        <v>#REF!</v>
      </c>
      <c r="H33" s="181" t="e">
        <f t="shared" si="16"/>
        <v>#REF!</v>
      </c>
      <c r="I33" s="182" t="e">
        <f>SUM(C33:H33)</f>
        <v>#REF!</v>
      </c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4"/>
    </row>
    <row r="34" spans="1:20" ht="16.5" thickBot="1" x14ac:dyDescent="0.25">
      <c r="A34" s="564" t="s">
        <v>64</v>
      </c>
      <c r="B34" s="565"/>
      <c r="C34" s="565"/>
      <c r="D34" s="565"/>
      <c r="E34" s="565"/>
      <c r="F34" s="565"/>
      <c r="G34" s="565"/>
      <c r="H34" s="565"/>
      <c r="I34" s="565"/>
      <c r="J34" s="565"/>
      <c r="K34" s="565"/>
      <c r="L34" s="565"/>
      <c r="M34" s="565"/>
      <c r="N34" s="565"/>
      <c r="O34" s="565"/>
      <c r="P34" s="565"/>
      <c r="Q34" s="565"/>
      <c r="R34" s="565"/>
      <c r="S34" s="565"/>
      <c r="T34" s="566"/>
    </row>
    <row r="35" spans="1:20" ht="15.75" x14ac:dyDescent="0.25">
      <c r="A35" s="185" t="s">
        <v>65</v>
      </c>
      <c r="B35" s="186" t="s">
        <v>33</v>
      </c>
      <c r="C35" s="116">
        <f>I35*V2</f>
        <v>2804.7794810259838</v>
      </c>
      <c r="D35" s="114">
        <f>I35*W2</f>
        <v>895.81583880547237</v>
      </c>
      <c r="E35" s="114">
        <f>I35*X2</f>
        <v>1500.950378260326</v>
      </c>
      <c r="F35" s="114">
        <f>I35*Y2</f>
        <v>4613.1971552684481</v>
      </c>
      <c r="G35" s="114">
        <f>I35*Z2</f>
        <v>1315.7545241025211</v>
      </c>
      <c r="H35" s="117">
        <f>I35*AA2</f>
        <v>2239.5026225372494</v>
      </c>
      <c r="I35" s="187">
        <f>[2]гуртовка!B10</f>
        <v>13370</v>
      </c>
      <c r="J35" s="38"/>
      <c r="K35" s="36"/>
      <c r="L35" s="36"/>
      <c r="M35" s="36"/>
      <c r="N35" s="36"/>
      <c r="O35" s="36"/>
      <c r="P35" s="36"/>
      <c r="Q35" s="36"/>
      <c r="R35" s="36"/>
      <c r="S35" s="36"/>
      <c r="T35" s="188"/>
    </row>
    <row r="36" spans="1:20" ht="63.75" thickBot="1" x14ac:dyDescent="0.3">
      <c r="A36" s="189" t="s">
        <v>66</v>
      </c>
      <c r="B36" s="190" t="s">
        <v>67</v>
      </c>
      <c r="C36" s="191">
        <f>[2]гуртовка!E3/1.2+[2]гуртовка!H3/1.2</f>
        <v>434.61750000000001</v>
      </c>
      <c r="D36" s="191">
        <f>C36</f>
        <v>434.61750000000001</v>
      </c>
      <c r="E36" s="191">
        <f>C36</f>
        <v>434.61750000000001</v>
      </c>
      <c r="F36" s="191">
        <f>D36</f>
        <v>434.61750000000001</v>
      </c>
      <c r="G36" s="191">
        <f>E36</f>
        <v>434.61750000000001</v>
      </c>
      <c r="H36" s="191">
        <f>C36</f>
        <v>434.61750000000001</v>
      </c>
      <c r="I36" s="192" t="s">
        <v>68</v>
      </c>
      <c r="J36" s="193"/>
      <c r="K36" s="194"/>
      <c r="L36" s="194"/>
      <c r="M36" s="194"/>
      <c r="N36" s="194"/>
      <c r="O36" s="194"/>
      <c r="P36" s="194"/>
      <c r="Q36" s="194"/>
      <c r="R36" s="194"/>
      <c r="S36" s="194"/>
      <c r="T36" s="195"/>
    </row>
    <row r="37" spans="1:20" ht="16.5" thickBot="1" x14ac:dyDescent="0.3">
      <c r="A37" s="196" t="s">
        <v>62</v>
      </c>
      <c r="B37" s="197" t="s">
        <v>43</v>
      </c>
      <c r="C37" s="198">
        <f t="shared" ref="C37:H37" si="17">C35*C36/1000</f>
        <v>1219.0062460948106</v>
      </c>
      <c r="D37" s="183">
        <f t="shared" si="17"/>
        <v>389.33724032203736</v>
      </c>
      <c r="E37" s="183">
        <f t="shared" si="17"/>
        <v>652.33930102355737</v>
      </c>
      <c r="F37" s="183">
        <f t="shared" si="17"/>
        <v>2004.9762146298849</v>
      </c>
      <c r="G37" s="183">
        <f t="shared" si="17"/>
        <v>571.84994187912753</v>
      </c>
      <c r="H37" s="199">
        <f t="shared" si="17"/>
        <v>973.32703105058295</v>
      </c>
      <c r="I37" s="200">
        <f>C37+D37+E37+F37+G37+H37</f>
        <v>5810.835975</v>
      </c>
      <c r="J37" s="198"/>
      <c r="K37" s="183"/>
      <c r="L37" s="183"/>
      <c r="M37" s="183"/>
      <c r="N37" s="183"/>
      <c r="O37" s="183"/>
      <c r="P37" s="183"/>
      <c r="Q37" s="183"/>
      <c r="R37" s="183"/>
      <c r="S37" s="183"/>
      <c r="T37" s="184"/>
    </row>
    <row r="38" spans="1:20" ht="16.5" thickBot="1" x14ac:dyDescent="0.3">
      <c r="A38" s="567" t="s">
        <v>69</v>
      </c>
      <c r="B38" s="568"/>
      <c r="C38" s="568"/>
      <c r="D38" s="568"/>
      <c r="E38" s="568"/>
      <c r="F38" s="568"/>
      <c r="G38" s="568"/>
      <c r="H38" s="568"/>
      <c r="I38" s="568"/>
      <c r="J38" s="568"/>
      <c r="K38" s="568"/>
      <c r="L38" s="568"/>
      <c r="M38" s="568"/>
      <c r="N38" s="568"/>
      <c r="O38" s="568"/>
      <c r="P38" s="568"/>
      <c r="Q38" s="568"/>
      <c r="R38" s="568"/>
      <c r="S38" s="568"/>
      <c r="T38" s="569"/>
    </row>
    <row r="39" spans="1:20" ht="31.5" x14ac:dyDescent="0.2">
      <c r="A39" s="201" t="s">
        <v>70</v>
      </c>
      <c r="B39" s="202" t="s">
        <v>31</v>
      </c>
      <c r="C39" s="203">
        <v>2.1999999999999999E-2</v>
      </c>
      <c r="D39" s="204">
        <v>2.1999999999999999E-2</v>
      </c>
      <c r="E39" s="204">
        <v>2.1999999999999999E-2</v>
      </c>
      <c r="F39" s="204">
        <v>2.1999999999999999E-2</v>
      </c>
      <c r="G39" s="204">
        <v>2.1999999999999999E-2</v>
      </c>
      <c r="H39" s="205">
        <v>2.1999999999999999E-2</v>
      </c>
      <c r="I39" s="173"/>
      <c r="J39" s="203">
        <v>2.1999999999999999E-2</v>
      </c>
      <c r="K39" s="205">
        <v>2.1999999999999999E-2</v>
      </c>
      <c r="L39" s="206">
        <v>2.1999999999999999E-2</v>
      </c>
      <c r="M39" s="203">
        <v>2.1999999999999999E-2</v>
      </c>
      <c r="N39" s="205">
        <v>2.1999999999999999E-2</v>
      </c>
      <c r="O39" s="206">
        <v>2.1999999999999999E-2</v>
      </c>
      <c r="P39" s="207">
        <v>2.1999999999999999E-2</v>
      </c>
      <c r="Q39" s="208">
        <v>2.1999999999999999E-2</v>
      </c>
      <c r="R39" s="209">
        <v>2.1999999999999999E-2</v>
      </c>
      <c r="S39" s="207">
        <v>2.1999999999999999E-2</v>
      </c>
      <c r="T39" s="206">
        <f>S39</f>
        <v>2.1999999999999999E-2</v>
      </c>
    </row>
    <row r="40" spans="1:20" ht="15.75" x14ac:dyDescent="0.25">
      <c r="A40" s="210" t="s">
        <v>54</v>
      </c>
      <c r="B40" s="211" t="s">
        <v>51</v>
      </c>
      <c r="C40" s="38">
        <f>объем!A2*C39</f>
        <v>0</v>
      </c>
      <c r="D40" s="36" t="e">
        <f>D9*D39</f>
        <v>#REF!</v>
      </c>
      <c r="E40" s="36" t="e">
        <f>E9*E39</f>
        <v>#REF!</v>
      </c>
      <c r="F40" s="36" t="e">
        <f>F9*F39</f>
        <v>#REF!</v>
      </c>
      <c r="G40" s="36" t="e">
        <f>G9*G39</f>
        <v>#REF!</v>
      </c>
      <c r="H40" s="37" t="e">
        <f>H9*H39</f>
        <v>#REF!</v>
      </c>
      <c r="I40" s="76" t="e">
        <f>SUM(C40:H40)</f>
        <v>#REF!</v>
      </c>
      <c r="J40" s="38">
        <f>J9*J39</f>
        <v>100.8868732780832</v>
      </c>
      <c r="K40" s="37">
        <f>K9*K39</f>
        <v>35.676486694611839</v>
      </c>
      <c r="L40" s="127">
        <f>SUM(J40:K40)</f>
        <v>136.56335997269503</v>
      </c>
      <c r="M40" s="38">
        <f>M9*M39</f>
        <v>70.507190015268165</v>
      </c>
      <c r="N40" s="37">
        <f>N9*N39</f>
        <v>38.173509297197121</v>
      </c>
      <c r="O40" s="127">
        <f>SUM(M40:N40)</f>
        <v>108.68069931246529</v>
      </c>
      <c r="P40" s="129">
        <f>P9*P39</f>
        <v>71.791908911799993</v>
      </c>
      <c r="Q40" s="35">
        <f>Q9*Q39</f>
        <v>25.278523680970547</v>
      </c>
      <c r="R40" s="39">
        <f>R9*R39</f>
        <v>44.626219872843834</v>
      </c>
      <c r="S40" s="129">
        <f>SUM(Q40:R40)</f>
        <v>69.904743553814384</v>
      </c>
      <c r="T40" s="43" t="e">
        <f>I40+L40+O40+P40+S40</f>
        <v>#REF!</v>
      </c>
    </row>
    <row r="41" spans="1:20" ht="31.5" x14ac:dyDescent="0.2">
      <c r="A41" s="212" t="s">
        <v>61</v>
      </c>
      <c r="B41" s="213" t="s">
        <v>40</v>
      </c>
      <c r="C41" s="159">
        <f>5773/1.2</f>
        <v>4810.8333333333339</v>
      </c>
      <c r="D41" s="159">
        <f>C41</f>
        <v>4810.8333333333339</v>
      </c>
      <c r="E41" s="159">
        <f>C41</f>
        <v>4810.8333333333339</v>
      </c>
      <c r="F41" s="159">
        <f>C41</f>
        <v>4810.8333333333339</v>
      </c>
      <c r="G41" s="159">
        <f>C41</f>
        <v>4810.8333333333339</v>
      </c>
      <c r="H41" s="159">
        <f>C41</f>
        <v>4810.8333333333339</v>
      </c>
      <c r="I41" s="214" t="s">
        <v>71</v>
      </c>
      <c r="J41" s="159">
        <v>5400</v>
      </c>
      <c r="K41" s="159">
        <v>5400</v>
      </c>
      <c r="L41" s="159">
        <v>5400</v>
      </c>
      <c r="M41" s="159">
        <v>5400</v>
      </c>
      <c r="N41" s="159">
        <v>5400</v>
      </c>
      <c r="O41" s="159">
        <v>5400</v>
      </c>
      <c r="P41" s="159">
        <v>5400</v>
      </c>
      <c r="Q41" s="159">
        <v>5400</v>
      </c>
      <c r="R41" s="159">
        <v>5400</v>
      </c>
      <c r="S41" s="159">
        <v>5400</v>
      </c>
      <c r="T41" s="215">
        <v>5400</v>
      </c>
    </row>
    <row r="42" spans="1:20" ht="16.5" thickBot="1" x14ac:dyDescent="0.3">
      <c r="A42" s="216" t="s">
        <v>62</v>
      </c>
      <c r="B42" s="190" t="s">
        <v>43</v>
      </c>
      <c r="C42" s="194">
        <f t="shared" ref="C42:H42" si="18">C40*C41/1000</f>
        <v>0</v>
      </c>
      <c r="D42" s="194" t="e">
        <f t="shared" si="18"/>
        <v>#REF!</v>
      </c>
      <c r="E42" s="194" t="e">
        <f t="shared" si="18"/>
        <v>#REF!</v>
      </c>
      <c r="F42" s="194" t="e">
        <f t="shared" si="18"/>
        <v>#REF!</v>
      </c>
      <c r="G42" s="194" t="e">
        <f t="shared" si="18"/>
        <v>#REF!</v>
      </c>
      <c r="H42" s="194" t="e">
        <f t="shared" si="18"/>
        <v>#REF!</v>
      </c>
      <c r="I42" s="217" t="e">
        <f>SUM(C42:H42)</f>
        <v>#REF!</v>
      </c>
      <c r="J42" s="193">
        <f>J40*J41/1000</f>
        <v>544.78911570164939</v>
      </c>
      <c r="K42" s="218">
        <f>K40*K41/1000</f>
        <v>192.65302815090394</v>
      </c>
      <c r="L42" s="219">
        <f>SUM(J42:K42)</f>
        <v>737.44214385255327</v>
      </c>
      <c r="M42" s="193">
        <f>M40*M41/1000</f>
        <v>380.73882608244804</v>
      </c>
      <c r="N42" s="218">
        <f>N40*N41/1000</f>
        <v>206.13695020486446</v>
      </c>
      <c r="O42" s="219">
        <f>SUM(M42:N42)</f>
        <v>586.87577628731253</v>
      </c>
      <c r="P42" s="220">
        <f>P40*P41/1000</f>
        <v>387.67630812371993</v>
      </c>
      <c r="Q42" s="221">
        <f>Q40*Q41/1000</f>
        <v>136.50402787724096</v>
      </c>
      <c r="R42" s="222">
        <f>R40*R41/1000</f>
        <v>240.9815873133567</v>
      </c>
      <c r="S42" s="220">
        <f>SUM(Q42:R42)</f>
        <v>377.48561519059763</v>
      </c>
      <c r="T42" s="223" t="e">
        <f>I42+L42+O42+P42+S42</f>
        <v>#REF!</v>
      </c>
    </row>
    <row r="43" spans="1:20" ht="38.25" thickBot="1" x14ac:dyDescent="0.35">
      <c r="A43" s="224" t="s">
        <v>72</v>
      </c>
      <c r="B43" s="225" t="s">
        <v>43</v>
      </c>
      <c r="C43" s="226" t="e">
        <f t="shared" ref="C43:H43" si="19">C42+C37+C33</f>
        <v>#REF!</v>
      </c>
      <c r="D43" s="226" t="e">
        <f t="shared" si="19"/>
        <v>#REF!</v>
      </c>
      <c r="E43" s="226" t="e">
        <f t="shared" si="19"/>
        <v>#REF!</v>
      </c>
      <c r="F43" s="226" t="e">
        <f t="shared" si="19"/>
        <v>#REF!</v>
      </c>
      <c r="G43" s="226" t="e">
        <f t="shared" si="19"/>
        <v>#REF!</v>
      </c>
      <c r="H43" s="226" t="e">
        <f t="shared" si="19"/>
        <v>#REF!</v>
      </c>
      <c r="I43" s="227" t="e">
        <f>C43+D43+E43+F43+G43+H43</f>
        <v>#REF!</v>
      </c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9"/>
    </row>
  </sheetData>
  <customSheetViews>
    <customSheetView guid="{4F83E3D9-05C9-45DD-BE29-5010E4EF885C}" scale="60" showPageBreaks="1" printArea="1" hiddenColumns="1" state="hidden" view="pageBreakPreview">
      <selection activeCell="C9" sqref="C9"/>
      <pageMargins left="1.1023622047244095" right="0.70866141732283472" top="0.74803149606299213" bottom="0.74803149606299213" header="0.31496062992125984" footer="0.31496062992125984"/>
      <pageSetup paperSize="9" scale="72" orientation="portrait" r:id="rId1"/>
    </customSheetView>
    <customSheetView guid="{E3DB1A70-74DD-44C5-A9A7-0FA1388C0D1F}" scale="60" showPageBreaks="1" printArea="1" hiddenColumns="1" state="hidden" view="pageBreakPreview">
      <selection activeCell="C9" sqref="C9"/>
      <pageMargins left="1.1023622047244095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9">
    <mergeCell ref="A17:T17"/>
    <mergeCell ref="A34:T34"/>
    <mergeCell ref="A38:T38"/>
    <mergeCell ref="A1:T1"/>
    <mergeCell ref="B4:I4"/>
    <mergeCell ref="J4:L4"/>
    <mergeCell ref="M4:O4"/>
    <mergeCell ref="Q4:S4"/>
    <mergeCell ref="A6:I6"/>
  </mergeCells>
  <pageMargins left="1.1023622047244095" right="0.70866141732283472" top="0.74803149606299213" bottom="0.74803149606299213" header="0.31496062992125984" footer="0.31496062992125984"/>
  <pageSetup paperSize="9" scale="72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"/>
  <sheetViews>
    <sheetView workbookViewId="0">
      <selection activeCell="C9" sqref="C9"/>
    </sheetView>
  </sheetViews>
  <sheetFormatPr defaultRowHeight="15" x14ac:dyDescent="0.25"/>
  <sheetData>
    <row r="1" spans="1:4" x14ac:dyDescent="0.25">
      <c r="A1" t="s">
        <v>2</v>
      </c>
    </row>
    <row r="2" spans="1:4" x14ac:dyDescent="0.25">
      <c r="A2">
        <f>[3]ТЭ!$N$82</f>
        <v>0</v>
      </c>
      <c r="C2">
        <f>350/1.2</f>
        <v>291.66666666666669</v>
      </c>
      <c r="D2">
        <f>A2*C2</f>
        <v>0</v>
      </c>
    </row>
  </sheetData>
  <customSheetViews>
    <customSheetView guid="{4F83E3D9-05C9-45DD-BE29-5010E4EF885C}" state="hidden">
      <selection activeCell="C9" sqref="C9"/>
      <pageMargins left="0.7" right="0.7" top="0.75" bottom="0.75" header="0.3" footer="0.3"/>
    </customSheetView>
    <customSheetView guid="{E3DB1A70-74DD-44C5-A9A7-0FA1388C0D1F}" state="hidden">
      <selection activeCell="C9" sqref="C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WB43"/>
  <sheetViews>
    <sheetView view="pageBreakPreview" zoomScale="60" zoomScaleNormal="100" workbookViewId="0">
      <selection activeCell="C9" sqref="C9"/>
    </sheetView>
  </sheetViews>
  <sheetFormatPr defaultRowHeight="12.75" x14ac:dyDescent="0.2"/>
  <cols>
    <col min="1" max="1" width="28.7109375" style="230" customWidth="1"/>
    <col min="2" max="2" width="12.140625" style="230" customWidth="1"/>
    <col min="3" max="8" width="8.85546875" style="230" hidden="1" customWidth="1"/>
    <col min="9" max="9" width="10.42578125" style="230" hidden="1" customWidth="1"/>
    <col min="10" max="10" width="11.28515625" style="230" customWidth="1"/>
    <col min="11" max="11" width="8.85546875" style="230" hidden="1" customWidth="1"/>
    <col min="12" max="12" width="12.28515625" style="230" customWidth="1"/>
    <col min="13" max="19" width="8.85546875" style="230" hidden="1" customWidth="1"/>
    <col min="20" max="20" width="11.28515625" style="230" hidden="1" customWidth="1"/>
    <col min="21" max="256" width="9.140625" style="230"/>
    <col min="257" max="257" width="28.7109375" style="230" customWidth="1"/>
    <col min="258" max="258" width="12.140625" style="230" customWidth="1"/>
    <col min="259" max="265" width="9.140625" style="230" hidden="1" customWidth="1"/>
    <col min="266" max="266" width="11.28515625" style="230" customWidth="1"/>
    <col min="267" max="267" width="9.140625" style="230" hidden="1" customWidth="1"/>
    <col min="268" max="268" width="12.28515625" style="230" customWidth="1"/>
    <col min="269" max="276" width="9.140625" style="230" hidden="1" customWidth="1"/>
    <col min="277" max="512" width="9.140625" style="230"/>
    <col min="513" max="513" width="28.7109375" style="230" customWidth="1"/>
    <col min="514" max="514" width="12.140625" style="230" customWidth="1"/>
    <col min="515" max="521" width="9.140625" style="230" hidden="1" customWidth="1"/>
    <col min="522" max="522" width="11.28515625" style="230" customWidth="1"/>
    <col min="523" max="523" width="9.140625" style="230" hidden="1" customWidth="1"/>
    <col min="524" max="524" width="12.28515625" style="230" customWidth="1"/>
    <col min="525" max="532" width="9.140625" style="230" hidden="1" customWidth="1"/>
    <col min="533" max="768" width="9.140625" style="230"/>
    <col min="769" max="769" width="28.7109375" style="230" customWidth="1"/>
    <col min="770" max="770" width="12.140625" style="230" customWidth="1"/>
    <col min="771" max="777" width="9.140625" style="230" hidden="1" customWidth="1"/>
    <col min="778" max="778" width="11.28515625" style="230" customWidth="1"/>
    <col min="779" max="779" width="9.140625" style="230" hidden="1" customWidth="1"/>
    <col min="780" max="780" width="12.28515625" style="230" customWidth="1"/>
    <col min="781" max="788" width="9.140625" style="230" hidden="1" customWidth="1"/>
    <col min="789" max="1024" width="9.140625" style="230"/>
    <col min="1025" max="1025" width="28.7109375" style="230" customWidth="1"/>
    <col min="1026" max="1026" width="12.140625" style="230" customWidth="1"/>
    <col min="1027" max="1033" width="9.140625" style="230" hidden="1" customWidth="1"/>
    <col min="1034" max="1034" width="11.28515625" style="230" customWidth="1"/>
    <col min="1035" max="1035" width="9.140625" style="230" hidden="1" customWidth="1"/>
    <col min="1036" max="1036" width="12.28515625" style="230" customWidth="1"/>
    <col min="1037" max="1044" width="9.140625" style="230" hidden="1" customWidth="1"/>
    <col min="1045" max="1280" width="9.140625" style="230"/>
    <col min="1281" max="1281" width="28.7109375" style="230" customWidth="1"/>
    <col min="1282" max="1282" width="12.140625" style="230" customWidth="1"/>
    <col min="1283" max="1289" width="9.140625" style="230" hidden="1" customWidth="1"/>
    <col min="1290" max="1290" width="11.28515625" style="230" customWidth="1"/>
    <col min="1291" max="1291" width="9.140625" style="230" hidden="1" customWidth="1"/>
    <col min="1292" max="1292" width="12.28515625" style="230" customWidth="1"/>
    <col min="1293" max="1300" width="9.140625" style="230" hidden="1" customWidth="1"/>
    <col min="1301" max="1536" width="9.140625" style="230"/>
    <col min="1537" max="1537" width="28.7109375" style="230" customWidth="1"/>
    <col min="1538" max="1538" width="12.140625" style="230" customWidth="1"/>
    <col min="1539" max="1545" width="9.140625" style="230" hidden="1" customWidth="1"/>
    <col min="1546" max="1546" width="11.28515625" style="230" customWidth="1"/>
    <col min="1547" max="1547" width="9.140625" style="230" hidden="1" customWidth="1"/>
    <col min="1548" max="1548" width="12.28515625" style="230" customWidth="1"/>
    <col min="1549" max="1556" width="9.140625" style="230" hidden="1" customWidth="1"/>
    <col min="1557" max="1792" width="9.140625" style="230"/>
    <col min="1793" max="1793" width="28.7109375" style="230" customWidth="1"/>
    <col min="1794" max="1794" width="12.140625" style="230" customWidth="1"/>
    <col min="1795" max="1801" width="9.140625" style="230" hidden="1" customWidth="1"/>
    <col min="1802" max="1802" width="11.28515625" style="230" customWidth="1"/>
    <col min="1803" max="1803" width="9.140625" style="230" hidden="1" customWidth="1"/>
    <col min="1804" max="1804" width="12.28515625" style="230" customWidth="1"/>
    <col min="1805" max="1812" width="9.140625" style="230" hidden="1" customWidth="1"/>
    <col min="1813" max="2048" width="9.140625" style="230"/>
    <col min="2049" max="2049" width="28.7109375" style="230" customWidth="1"/>
    <col min="2050" max="2050" width="12.140625" style="230" customWidth="1"/>
    <col min="2051" max="2057" width="9.140625" style="230" hidden="1" customWidth="1"/>
    <col min="2058" max="2058" width="11.28515625" style="230" customWidth="1"/>
    <col min="2059" max="2059" width="9.140625" style="230" hidden="1" customWidth="1"/>
    <col min="2060" max="2060" width="12.28515625" style="230" customWidth="1"/>
    <col min="2061" max="2068" width="9.140625" style="230" hidden="1" customWidth="1"/>
    <col min="2069" max="2304" width="9.140625" style="230"/>
    <col min="2305" max="2305" width="28.7109375" style="230" customWidth="1"/>
    <col min="2306" max="2306" width="12.140625" style="230" customWidth="1"/>
    <col min="2307" max="2313" width="9.140625" style="230" hidden="1" customWidth="1"/>
    <col min="2314" max="2314" width="11.28515625" style="230" customWidth="1"/>
    <col min="2315" max="2315" width="9.140625" style="230" hidden="1" customWidth="1"/>
    <col min="2316" max="2316" width="12.28515625" style="230" customWidth="1"/>
    <col min="2317" max="2324" width="9.140625" style="230" hidden="1" customWidth="1"/>
    <col min="2325" max="2560" width="9.140625" style="230"/>
    <col min="2561" max="2561" width="28.7109375" style="230" customWidth="1"/>
    <col min="2562" max="2562" width="12.140625" style="230" customWidth="1"/>
    <col min="2563" max="2569" width="9.140625" style="230" hidden="1" customWidth="1"/>
    <col min="2570" max="2570" width="11.28515625" style="230" customWidth="1"/>
    <col min="2571" max="2571" width="9.140625" style="230" hidden="1" customWidth="1"/>
    <col min="2572" max="2572" width="12.28515625" style="230" customWidth="1"/>
    <col min="2573" max="2580" width="9.140625" style="230" hidden="1" customWidth="1"/>
    <col min="2581" max="2816" width="9.140625" style="230"/>
    <col min="2817" max="2817" width="28.7109375" style="230" customWidth="1"/>
    <col min="2818" max="2818" width="12.140625" style="230" customWidth="1"/>
    <col min="2819" max="2825" width="9.140625" style="230" hidden="1" customWidth="1"/>
    <col min="2826" max="2826" width="11.28515625" style="230" customWidth="1"/>
    <col min="2827" max="2827" width="9.140625" style="230" hidden="1" customWidth="1"/>
    <col min="2828" max="2828" width="12.28515625" style="230" customWidth="1"/>
    <col min="2829" max="2836" width="9.140625" style="230" hidden="1" customWidth="1"/>
    <col min="2837" max="3072" width="9.140625" style="230"/>
    <col min="3073" max="3073" width="28.7109375" style="230" customWidth="1"/>
    <col min="3074" max="3074" width="12.140625" style="230" customWidth="1"/>
    <col min="3075" max="3081" width="9.140625" style="230" hidden="1" customWidth="1"/>
    <col min="3082" max="3082" width="11.28515625" style="230" customWidth="1"/>
    <col min="3083" max="3083" width="9.140625" style="230" hidden="1" customWidth="1"/>
    <col min="3084" max="3084" width="12.28515625" style="230" customWidth="1"/>
    <col min="3085" max="3092" width="9.140625" style="230" hidden="1" customWidth="1"/>
    <col min="3093" max="3328" width="9.140625" style="230"/>
    <col min="3329" max="3329" width="28.7109375" style="230" customWidth="1"/>
    <col min="3330" max="3330" width="12.140625" style="230" customWidth="1"/>
    <col min="3331" max="3337" width="9.140625" style="230" hidden="1" customWidth="1"/>
    <col min="3338" max="3338" width="11.28515625" style="230" customWidth="1"/>
    <col min="3339" max="3339" width="9.140625" style="230" hidden="1" customWidth="1"/>
    <col min="3340" max="3340" width="12.28515625" style="230" customWidth="1"/>
    <col min="3341" max="3348" width="9.140625" style="230" hidden="1" customWidth="1"/>
    <col min="3349" max="3584" width="9.140625" style="230"/>
    <col min="3585" max="3585" width="28.7109375" style="230" customWidth="1"/>
    <col min="3586" max="3586" width="12.140625" style="230" customWidth="1"/>
    <col min="3587" max="3593" width="9.140625" style="230" hidden="1" customWidth="1"/>
    <col min="3594" max="3594" width="11.28515625" style="230" customWidth="1"/>
    <col min="3595" max="3595" width="9.140625" style="230" hidden="1" customWidth="1"/>
    <col min="3596" max="3596" width="12.28515625" style="230" customWidth="1"/>
    <col min="3597" max="3604" width="9.140625" style="230" hidden="1" customWidth="1"/>
    <col min="3605" max="3840" width="9.140625" style="230"/>
    <col min="3841" max="3841" width="28.7109375" style="230" customWidth="1"/>
    <col min="3842" max="3842" width="12.140625" style="230" customWidth="1"/>
    <col min="3843" max="3849" width="9.140625" style="230" hidden="1" customWidth="1"/>
    <col min="3850" max="3850" width="11.28515625" style="230" customWidth="1"/>
    <col min="3851" max="3851" width="9.140625" style="230" hidden="1" customWidth="1"/>
    <col min="3852" max="3852" width="12.28515625" style="230" customWidth="1"/>
    <col min="3853" max="3860" width="9.140625" style="230" hidden="1" customWidth="1"/>
    <col min="3861" max="4096" width="9.140625" style="230"/>
    <col min="4097" max="4097" width="28.7109375" style="230" customWidth="1"/>
    <col min="4098" max="4098" width="12.140625" style="230" customWidth="1"/>
    <col min="4099" max="4105" width="9.140625" style="230" hidden="1" customWidth="1"/>
    <col min="4106" max="4106" width="11.28515625" style="230" customWidth="1"/>
    <col min="4107" max="4107" width="9.140625" style="230" hidden="1" customWidth="1"/>
    <col min="4108" max="4108" width="12.28515625" style="230" customWidth="1"/>
    <col min="4109" max="4116" width="9.140625" style="230" hidden="1" customWidth="1"/>
    <col min="4117" max="4352" width="9.140625" style="230"/>
    <col min="4353" max="4353" width="28.7109375" style="230" customWidth="1"/>
    <col min="4354" max="4354" width="12.140625" style="230" customWidth="1"/>
    <col min="4355" max="4361" width="9.140625" style="230" hidden="1" customWidth="1"/>
    <col min="4362" max="4362" width="11.28515625" style="230" customWidth="1"/>
    <col min="4363" max="4363" width="9.140625" style="230" hidden="1" customWidth="1"/>
    <col min="4364" max="4364" width="12.28515625" style="230" customWidth="1"/>
    <col min="4365" max="4372" width="9.140625" style="230" hidden="1" customWidth="1"/>
    <col min="4373" max="4608" width="9.140625" style="230"/>
    <col min="4609" max="4609" width="28.7109375" style="230" customWidth="1"/>
    <col min="4610" max="4610" width="12.140625" style="230" customWidth="1"/>
    <col min="4611" max="4617" width="9.140625" style="230" hidden="1" customWidth="1"/>
    <col min="4618" max="4618" width="11.28515625" style="230" customWidth="1"/>
    <col min="4619" max="4619" width="9.140625" style="230" hidden="1" customWidth="1"/>
    <col min="4620" max="4620" width="12.28515625" style="230" customWidth="1"/>
    <col min="4621" max="4628" width="9.140625" style="230" hidden="1" customWidth="1"/>
    <col min="4629" max="4864" width="9.140625" style="230"/>
    <col min="4865" max="4865" width="28.7109375" style="230" customWidth="1"/>
    <col min="4866" max="4866" width="12.140625" style="230" customWidth="1"/>
    <col min="4867" max="4873" width="9.140625" style="230" hidden="1" customWidth="1"/>
    <col min="4874" max="4874" width="11.28515625" style="230" customWidth="1"/>
    <col min="4875" max="4875" width="9.140625" style="230" hidden="1" customWidth="1"/>
    <col min="4876" max="4876" width="12.28515625" style="230" customWidth="1"/>
    <col min="4877" max="4884" width="9.140625" style="230" hidden="1" customWidth="1"/>
    <col min="4885" max="5120" width="9.140625" style="230"/>
    <col min="5121" max="5121" width="28.7109375" style="230" customWidth="1"/>
    <col min="5122" max="5122" width="12.140625" style="230" customWidth="1"/>
    <col min="5123" max="5129" width="9.140625" style="230" hidden="1" customWidth="1"/>
    <col min="5130" max="5130" width="11.28515625" style="230" customWidth="1"/>
    <col min="5131" max="5131" width="9.140625" style="230" hidden="1" customWidth="1"/>
    <col min="5132" max="5132" width="12.28515625" style="230" customWidth="1"/>
    <col min="5133" max="5140" width="9.140625" style="230" hidden="1" customWidth="1"/>
    <col min="5141" max="5376" width="9.140625" style="230"/>
    <col min="5377" max="5377" width="28.7109375" style="230" customWidth="1"/>
    <col min="5378" max="5378" width="12.140625" style="230" customWidth="1"/>
    <col min="5379" max="5385" width="9.140625" style="230" hidden="1" customWidth="1"/>
    <col min="5386" max="5386" width="11.28515625" style="230" customWidth="1"/>
    <col min="5387" max="5387" width="9.140625" style="230" hidden="1" customWidth="1"/>
    <col min="5388" max="5388" width="12.28515625" style="230" customWidth="1"/>
    <col min="5389" max="5396" width="9.140625" style="230" hidden="1" customWidth="1"/>
    <col min="5397" max="5632" width="9.140625" style="230"/>
    <col min="5633" max="5633" width="28.7109375" style="230" customWidth="1"/>
    <col min="5634" max="5634" width="12.140625" style="230" customWidth="1"/>
    <col min="5635" max="5641" width="9.140625" style="230" hidden="1" customWidth="1"/>
    <col min="5642" max="5642" width="11.28515625" style="230" customWidth="1"/>
    <col min="5643" max="5643" width="9.140625" style="230" hidden="1" customWidth="1"/>
    <col min="5644" max="5644" width="12.28515625" style="230" customWidth="1"/>
    <col min="5645" max="5652" width="9.140625" style="230" hidden="1" customWidth="1"/>
    <col min="5653" max="5888" width="9.140625" style="230"/>
    <col min="5889" max="5889" width="28.7109375" style="230" customWidth="1"/>
    <col min="5890" max="5890" width="12.140625" style="230" customWidth="1"/>
    <col min="5891" max="5897" width="9.140625" style="230" hidden="1" customWidth="1"/>
    <col min="5898" max="5898" width="11.28515625" style="230" customWidth="1"/>
    <col min="5899" max="5899" width="9.140625" style="230" hidden="1" customWidth="1"/>
    <col min="5900" max="5900" width="12.28515625" style="230" customWidth="1"/>
    <col min="5901" max="5908" width="9.140625" style="230" hidden="1" customWidth="1"/>
    <col min="5909" max="6144" width="9.140625" style="230"/>
    <col min="6145" max="6145" width="28.7109375" style="230" customWidth="1"/>
    <col min="6146" max="6146" width="12.140625" style="230" customWidth="1"/>
    <col min="6147" max="6153" width="9.140625" style="230" hidden="1" customWidth="1"/>
    <col min="6154" max="6154" width="11.28515625" style="230" customWidth="1"/>
    <col min="6155" max="6155" width="9.140625" style="230" hidden="1" customWidth="1"/>
    <col min="6156" max="6156" width="12.28515625" style="230" customWidth="1"/>
    <col min="6157" max="6164" width="9.140625" style="230" hidden="1" customWidth="1"/>
    <col min="6165" max="6400" width="9.140625" style="230"/>
    <col min="6401" max="6401" width="28.7109375" style="230" customWidth="1"/>
    <col min="6402" max="6402" width="12.140625" style="230" customWidth="1"/>
    <col min="6403" max="6409" width="9.140625" style="230" hidden="1" customWidth="1"/>
    <col min="6410" max="6410" width="11.28515625" style="230" customWidth="1"/>
    <col min="6411" max="6411" width="9.140625" style="230" hidden="1" customWidth="1"/>
    <col min="6412" max="6412" width="12.28515625" style="230" customWidth="1"/>
    <col min="6413" max="6420" width="9.140625" style="230" hidden="1" customWidth="1"/>
    <col min="6421" max="6656" width="9.140625" style="230"/>
    <col min="6657" max="6657" width="28.7109375" style="230" customWidth="1"/>
    <col min="6658" max="6658" width="12.140625" style="230" customWidth="1"/>
    <col min="6659" max="6665" width="9.140625" style="230" hidden="1" customWidth="1"/>
    <col min="6666" max="6666" width="11.28515625" style="230" customWidth="1"/>
    <col min="6667" max="6667" width="9.140625" style="230" hidden="1" customWidth="1"/>
    <col min="6668" max="6668" width="12.28515625" style="230" customWidth="1"/>
    <col min="6669" max="6676" width="9.140625" style="230" hidden="1" customWidth="1"/>
    <col min="6677" max="6912" width="9.140625" style="230"/>
    <col min="6913" max="6913" width="28.7109375" style="230" customWidth="1"/>
    <col min="6914" max="6914" width="12.140625" style="230" customWidth="1"/>
    <col min="6915" max="6921" width="9.140625" style="230" hidden="1" customWidth="1"/>
    <col min="6922" max="6922" width="11.28515625" style="230" customWidth="1"/>
    <col min="6923" max="6923" width="9.140625" style="230" hidden="1" customWidth="1"/>
    <col min="6924" max="6924" width="12.28515625" style="230" customWidth="1"/>
    <col min="6925" max="6932" width="9.140625" style="230" hidden="1" customWidth="1"/>
    <col min="6933" max="7168" width="9.140625" style="230"/>
    <col min="7169" max="7169" width="28.7109375" style="230" customWidth="1"/>
    <col min="7170" max="7170" width="12.140625" style="230" customWidth="1"/>
    <col min="7171" max="7177" width="9.140625" style="230" hidden="1" customWidth="1"/>
    <col min="7178" max="7178" width="11.28515625" style="230" customWidth="1"/>
    <col min="7179" max="7179" width="9.140625" style="230" hidden="1" customWidth="1"/>
    <col min="7180" max="7180" width="12.28515625" style="230" customWidth="1"/>
    <col min="7181" max="7188" width="9.140625" style="230" hidden="1" customWidth="1"/>
    <col min="7189" max="7424" width="9.140625" style="230"/>
    <col min="7425" max="7425" width="28.7109375" style="230" customWidth="1"/>
    <col min="7426" max="7426" width="12.140625" style="230" customWidth="1"/>
    <col min="7427" max="7433" width="9.140625" style="230" hidden="1" customWidth="1"/>
    <col min="7434" max="7434" width="11.28515625" style="230" customWidth="1"/>
    <col min="7435" max="7435" width="9.140625" style="230" hidden="1" customWidth="1"/>
    <col min="7436" max="7436" width="12.28515625" style="230" customWidth="1"/>
    <col min="7437" max="7444" width="9.140625" style="230" hidden="1" customWidth="1"/>
    <col min="7445" max="7680" width="9.140625" style="230"/>
    <col min="7681" max="7681" width="28.7109375" style="230" customWidth="1"/>
    <col min="7682" max="7682" width="12.140625" style="230" customWidth="1"/>
    <col min="7683" max="7689" width="9.140625" style="230" hidden="1" customWidth="1"/>
    <col min="7690" max="7690" width="11.28515625" style="230" customWidth="1"/>
    <col min="7691" max="7691" width="9.140625" style="230" hidden="1" customWidth="1"/>
    <col min="7692" max="7692" width="12.28515625" style="230" customWidth="1"/>
    <col min="7693" max="7700" width="9.140625" style="230" hidden="1" customWidth="1"/>
    <col min="7701" max="7936" width="9.140625" style="230"/>
    <col min="7937" max="7937" width="28.7109375" style="230" customWidth="1"/>
    <col min="7938" max="7938" width="12.140625" style="230" customWidth="1"/>
    <col min="7939" max="7945" width="9.140625" style="230" hidden="1" customWidth="1"/>
    <col min="7946" max="7946" width="11.28515625" style="230" customWidth="1"/>
    <col min="7947" max="7947" width="9.140625" style="230" hidden="1" customWidth="1"/>
    <col min="7948" max="7948" width="12.28515625" style="230" customWidth="1"/>
    <col min="7949" max="7956" width="9.140625" style="230" hidden="1" customWidth="1"/>
    <col min="7957" max="8192" width="9.140625" style="230"/>
    <col min="8193" max="8193" width="28.7109375" style="230" customWidth="1"/>
    <col min="8194" max="8194" width="12.140625" style="230" customWidth="1"/>
    <col min="8195" max="8201" width="9.140625" style="230" hidden="1" customWidth="1"/>
    <col min="8202" max="8202" width="11.28515625" style="230" customWidth="1"/>
    <col min="8203" max="8203" width="9.140625" style="230" hidden="1" customWidth="1"/>
    <col min="8204" max="8204" width="12.28515625" style="230" customWidth="1"/>
    <col min="8205" max="8212" width="9.140625" style="230" hidden="1" customWidth="1"/>
    <col min="8213" max="8448" width="9.140625" style="230"/>
    <col min="8449" max="8449" width="28.7109375" style="230" customWidth="1"/>
    <col min="8450" max="8450" width="12.140625" style="230" customWidth="1"/>
    <col min="8451" max="8457" width="9.140625" style="230" hidden="1" customWidth="1"/>
    <col min="8458" max="8458" width="11.28515625" style="230" customWidth="1"/>
    <col min="8459" max="8459" width="9.140625" style="230" hidden="1" customWidth="1"/>
    <col min="8460" max="8460" width="12.28515625" style="230" customWidth="1"/>
    <col min="8461" max="8468" width="9.140625" style="230" hidden="1" customWidth="1"/>
    <col min="8469" max="8704" width="9.140625" style="230"/>
    <col min="8705" max="8705" width="28.7109375" style="230" customWidth="1"/>
    <col min="8706" max="8706" width="12.140625" style="230" customWidth="1"/>
    <col min="8707" max="8713" width="9.140625" style="230" hidden="1" customWidth="1"/>
    <col min="8714" max="8714" width="11.28515625" style="230" customWidth="1"/>
    <col min="8715" max="8715" width="9.140625" style="230" hidden="1" customWidth="1"/>
    <col min="8716" max="8716" width="12.28515625" style="230" customWidth="1"/>
    <col min="8717" max="8724" width="9.140625" style="230" hidden="1" customWidth="1"/>
    <col min="8725" max="8960" width="9.140625" style="230"/>
    <col min="8961" max="8961" width="28.7109375" style="230" customWidth="1"/>
    <col min="8962" max="8962" width="12.140625" style="230" customWidth="1"/>
    <col min="8963" max="8969" width="9.140625" style="230" hidden="1" customWidth="1"/>
    <col min="8970" max="8970" width="11.28515625" style="230" customWidth="1"/>
    <col min="8971" max="8971" width="9.140625" style="230" hidden="1" customWidth="1"/>
    <col min="8972" max="8972" width="12.28515625" style="230" customWidth="1"/>
    <col min="8973" max="8980" width="9.140625" style="230" hidden="1" customWidth="1"/>
    <col min="8981" max="9216" width="9.140625" style="230"/>
    <col min="9217" max="9217" width="28.7109375" style="230" customWidth="1"/>
    <col min="9218" max="9218" width="12.140625" style="230" customWidth="1"/>
    <col min="9219" max="9225" width="9.140625" style="230" hidden="1" customWidth="1"/>
    <col min="9226" max="9226" width="11.28515625" style="230" customWidth="1"/>
    <col min="9227" max="9227" width="9.140625" style="230" hidden="1" customWidth="1"/>
    <col min="9228" max="9228" width="12.28515625" style="230" customWidth="1"/>
    <col min="9229" max="9236" width="9.140625" style="230" hidden="1" customWidth="1"/>
    <col min="9237" max="9472" width="9.140625" style="230"/>
    <col min="9473" max="9473" width="28.7109375" style="230" customWidth="1"/>
    <col min="9474" max="9474" width="12.140625" style="230" customWidth="1"/>
    <col min="9475" max="9481" width="9.140625" style="230" hidden="1" customWidth="1"/>
    <col min="9482" max="9482" width="11.28515625" style="230" customWidth="1"/>
    <col min="9483" max="9483" width="9.140625" style="230" hidden="1" customWidth="1"/>
    <col min="9484" max="9484" width="12.28515625" style="230" customWidth="1"/>
    <col min="9485" max="9492" width="9.140625" style="230" hidden="1" customWidth="1"/>
    <col min="9493" max="9728" width="9.140625" style="230"/>
    <col min="9729" max="9729" width="28.7109375" style="230" customWidth="1"/>
    <col min="9730" max="9730" width="12.140625" style="230" customWidth="1"/>
    <col min="9731" max="9737" width="9.140625" style="230" hidden="1" customWidth="1"/>
    <col min="9738" max="9738" width="11.28515625" style="230" customWidth="1"/>
    <col min="9739" max="9739" width="9.140625" style="230" hidden="1" customWidth="1"/>
    <col min="9740" max="9740" width="12.28515625" style="230" customWidth="1"/>
    <col min="9741" max="9748" width="9.140625" style="230" hidden="1" customWidth="1"/>
    <col min="9749" max="9984" width="9.140625" style="230"/>
    <col min="9985" max="9985" width="28.7109375" style="230" customWidth="1"/>
    <col min="9986" max="9986" width="12.140625" style="230" customWidth="1"/>
    <col min="9987" max="9993" width="9.140625" style="230" hidden="1" customWidth="1"/>
    <col min="9994" max="9994" width="11.28515625" style="230" customWidth="1"/>
    <col min="9995" max="9995" width="9.140625" style="230" hidden="1" customWidth="1"/>
    <col min="9996" max="9996" width="12.28515625" style="230" customWidth="1"/>
    <col min="9997" max="10004" width="9.140625" style="230" hidden="1" customWidth="1"/>
    <col min="10005" max="10240" width="9.140625" style="230"/>
    <col min="10241" max="10241" width="28.7109375" style="230" customWidth="1"/>
    <col min="10242" max="10242" width="12.140625" style="230" customWidth="1"/>
    <col min="10243" max="10249" width="9.140625" style="230" hidden="1" customWidth="1"/>
    <col min="10250" max="10250" width="11.28515625" style="230" customWidth="1"/>
    <col min="10251" max="10251" width="9.140625" style="230" hidden="1" customWidth="1"/>
    <col min="10252" max="10252" width="12.28515625" style="230" customWidth="1"/>
    <col min="10253" max="10260" width="9.140625" style="230" hidden="1" customWidth="1"/>
    <col min="10261" max="10496" width="9.140625" style="230"/>
    <col min="10497" max="10497" width="28.7109375" style="230" customWidth="1"/>
    <col min="10498" max="10498" width="12.140625" style="230" customWidth="1"/>
    <col min="10499" max="10505" width="9.140625" style="230" hidden="1" customWidth="1"/>
    <col min="10506" max="10506" width="11.28515625" style="230" customWidth="1"/>
    <col min="10507" max="10507" width="9.140625" style="230" hidden="1" customWidth="1"/>
    <col min="10508" max="10508" width="12.28515625" style="230" customWidth="1"/>
    <col min="10509" max="10516" width="9.140625" style="230" hidden="1" customWidth="1"/>
    <col min="10517" max="10752" width="9.140625" style="230"/>
    <col min="10753" max="10753" width="28.7109375" style="230" customWidth="1"/>
    <col min="10754" max="10754" width="12.140625" style="230" customWidth="1"/>
    <col min="10755" max="10761" width="9.140625" style="230" hidden="1" customWidth="1"/>
    <col min="10762" max="10762" width="11.28515625" style="230" customWidth="1"/>
    <col min="10763" max="10763" width="9.140625" style="230" hidden="1" customWidth="1"/>
    <col min="10764" max="10764" width="12.28515625" style="230" customWidth="1"/>
    <col min="10765" max="10772" width="9.140625" style="230" hidden="1" customWidth="1"/>
    <col min="10773" max="11008" width="9.140625" style="230"/>
    <col min="11009" max="11009" width="28.7109375" style="230" customWidth="1"/>
    <col min="11010" max="11010" width="12.140625" style="230" customWidth="1"/>
    <col min="11011" max="11017" width="9.140625" style="230" hidden="1" customWidth="1"/>
    <col min="11018" max="11018" width="11.28515625" style="230" customWidth="1"/>
    <col min="11019" max="11019" width="9.140625" style="230" hidden="1" customWidth="1"/>
    <col min="11020" max="11020" width="12.28515625" style="230" customWidth="1"/>
    <col min="11021" max="11028" width="9.140625" style="230" hidden="1" customWidth="1"/>
    <col min="11029" max="11264" width="9.140625" style="230"/>
    <col min="11265" max="11265" width="28.7109375" style="230" customWidth="1"/>
    <col min="11266" max="11266" width="12.140625" style="230" customWidth="1"/>
    <col min="11267" max="11273" width="9.140625" style="230" hidden="1" customWidth="1"/>
    <col min="11274" max="11274" width="11.28515625" style="230" customWidth="1"/>
    <col min="11275" max="11275" width="9.140625" style="230" hidden="1" customWidth="1"/>
    <col min="11276" max="11276" width="12.28515625" style="230" customWidth="1"/>
    <col min="11277" max="11284" width="9.140625" style="230" hidden="1" customWidth="1"/>
    <col min="11285" max="11520" width="9.140625" style="230"/>
    <col min="11521" max="11521" width="28.7109375" style="230" customWidth="1"/>
    <col min="11522" max="11522" width="12.140625" style="230" customWidth="1"/>
    <col min="11523" max="11529" width="9.140625" style="230" hidden="1" customWidth="1"/>
    <col min="11530" max="11530" width="11.28515625" style="230" customWidth="1"/>
    <col min="11531" max="11531" width="9.140625" style="230" hidden="1" customWidth="1"/>
    <col min="11532" max="11532" width="12.28515625" style="230" customWidth="1"/>
    <col min="11533" max="11540" width="9.140625" style="230" hidden="1" customWidth="1"/>
    <col min="11541" max="11776" width="9.140625" style="230"/>
    <col min="11777" max="11777" width="28.7109375" style="230" customWidth="1"/>
    <col min="11778" max="11778" width="12.140625" style="230" customWidth="1"/>
    <col min="11779" max="11785" width="9.140625" style="230" hidden="1" customWidth="1"/>
    <col min="11786" max="11786" width="11.28515625" style="230" customWidth="1"/>
    <col min="11787" max="11787" width="9.140625" style="230" hidden="1" customWidth="1"/>
    <col min="11788" max="11788" width="12.28515625" style="230" customWidth="1"/>
    <col min="11789" max="11796" width="9.140625" style="230" hidden="1" customWidth="1"/>
    <col min="11797" max="12032" width="9.140625" style="230"/>
    <col min="12033" max="12033" width="28.7109375" style="230" customWidth="1"/>
    <col min="12034" max="12034" width="12.140625" style="230" customWidth="1"/>
    <col min="12035" max="12041" width="9.140625" style="230" hidden="1" customWidth="1"/>
    <col min="12042" max="12042" width="11.28515625" style="230" customWidth="1"/>
    <col min="12043" max="12043" width="9.140625" style="230" hidden="1" customWidth="1"/>
    <col min="12044" max="12044" width="12.28515625" style="230" customWidth="1"/>
    <col min="12045" max="12052" width="9.140625" style="230" hidden="1" customWidth="1"/>
    <col min="12053" max="12288" width="9.140625" style="230"/>
    <col min="12289" max="12289" width="28.7109375" style="230" customWidth="1"/>
    <col min="12290" max="12290" width="12.140625" style="230" customWidth="1"/>
    <col min="12291" max="12297" width="9.140625" style="230" hidden="1" customWidth="1"/>
    <col min="12298" max="12298" width="11.28515625" style="230" customWidth="1"/>
    <col min="12299" max="12299" width="9.140625" style="230" hidden="1" customWidth="1"/>
    <col min="12300" max="12300" width="12.28515625" style="230" customWidth="1"/>
    <col min="12301" max="12308" width="9.140625" style="230" hidden="1" customWidth="1"/>
    <col min="12309" max="12544" width="9.140625" style="230"/>
    <col min="12545" max="12545" width="28.7109375" style="230" customWidth="1"/>
    <col min="12546" max="12546" width="12.140625" style="230" customWidth="1"/>
    <col min="12547" max="12553" width="9.140625" style="230" hidden="1" customWidth="1"/>
    <col min="12554" max="12554" width="11.28515625" style="230" customWidth="1"/>
    <col min="12555" max="12555" width="9.140625" style="230" hidden="1" customWidth="1"/>
    <col min="12556" max="12556" width="12.28515625" style="230" customWidth="1"/>
    <col min="12557" max="12564" width="9.140625" style="230" hidden="1" customWidth="1"/>
    <col min="12565" max="12800" width="9.140625" style="230"/>
    <col min="12801" max="12801" width="28.7109375" style="230" customWidth="1"/>
    <col min="12802" max="12802" width="12.140625" style="230" customWidth="1"/>
    <col min="12803" max="12809" width="9.140625" style="230" hidden="1" customWidth="1"/>
    <col min="12810" max="12810" width="11.28515625" style="230" customWidth="1"/>
    <col min="12811" max="12811" width="9.140625" style="230" hidden="1" customWidth="1"/>
    <col min="12812" max="12812" width="12.28515625" style="230" customWidth="1"/>
    <col min="12813" max="12820" width="9.140625" style="230" hidden="1" customWidth="1"/>
    <col min="12821" max="13056" width="9.140625" style="230"/>
    <col min="13057" max="13057" width="28.7109375" style="230" customWidth="1"/>
    <col min="13058" max="13058" width="12.140625" style="230" customWidth="1"/>
    <col min="13059" max="13065" width="9.140625" style="230" hidden="1" customWidth="1"/>
    <col min="13066" max="13066" width="11.28515625" style="230" customWidth="1"/>
    <col min="13067" max="13067" width="9.140625" style="230" hidden="1" customWidth="1"/>
    <col min="13068" max="13068" width="12.28515625" style="230" customWidth="1"/>
    <col min="13069" max="13076" width="9.140625" style="230" hidden="1" customWidth="1"/>
    <col min="13077" max="13312" width="9.140625" style="230"/>
    <col min="13313" max="13313" width="28.7109375" style="230" customWidth="1"/>
    <col min="13314" max="13314" width="12.140625" style="230" customWidth="1"/>
    <col min="13315" max="13321" width="9.140625" style="230" hidden="1" customWidth="1"/>
    <col min="13322" max="13322" width="11.28515625" style="230" customWidth="1"/>
    <col min="13323" max="13323" width="9.140625" style="230" hidden="1" customWidth="1"/>
    <col min="13324" max="13324" width="12.28515625" style="230" customWidth="1"/>
    <col min="13325" max="13332" width="9.140625" style="230" hidden="1" customWidth="1"/>
    <col min="13333" max="13568" width="9.140625" style="230"/>
    <col min="13569" max="13569" width="28.7109375" style="230" customWidth="1"/>
    <col min="13570" max="13570" width="12.140625" style="230" customWidth="1"/>
    <col min="13571" max="13577" width="9.140625" style="230" hidden="1" customWidth="1"/>
    <col min="13578" max="13578" width="11.28515625" style="230" customWidth="1"/>
    <col min="13579" max="13579" width="9.140625" style="230" hidden="1" customWidth="1"/>
    <col min="13580" max="13580" width="12.28515625" style="230" customWidth="1"/>
    <col min="13581" max="13588" width="9.140625" style="230" hidden="1" customWidth="1"/>
    <col min="13589" max="13824" width="9.140625" style="230"/>
    <col min="13825" max="13825" width="28.7109375" style="230" customWidth="1"/>
    <col min="13826" max="13826" width="12.140625" style="230" customWidth="1"/>
    <col min="13827" max="13833" width="9.140625" style="230" hidden="1" customWidth="1"/>
    <col min="13834" max="13834" width="11.28515625" style="230" customWidth="1"/>
    <col min="13835" max="13835" width="9.140625" style="230" hidden="1" customWidth="1"/>
    <col min="13836" max="13836" width="12.28515625" style="230" customWidth="1"/>
    <col min="13837" max="13844" width="9.140625" style="230" hidden="1" customWidth="1"/>
    <col min="13845" max="14080" width="9.140625" style="230"/>
    <col min="14081" max="14081" width="28.7109375" style="230" customWidth="1"/>
    <col min="14082" max="14082" width="12.140625" style="230" customWidth="1"/>
    <col min="14083" max="14089" width="9.140625" style="230" hidden="1" customWidth="1"/>
    <col min="14090" max="14090" width="11.28515625" style="230" customWidth="1"/>
    <col min="14091" max="14091" width="9.140625" style="230" hidden="1" customWidth="1"/>
    <col min="14092" max="14092" width="12.28515625" style="230" customWidth="1"/>
    <col min="14093" max="14100" width="9.140625" style="230" hidden="1" customWidth="1"/>
    <col min="14101" max="14336" width="9.140625" style="230"/>
    <col min="14337" max="14337" width="28.7109375" style="230" customWidth="1"/>
    <col min="14338" max="14338" width="12.140625" style="230" customWidth="1"/>
    <col min="14339" max="14345" width="9.140625" style="230" hidden="1" customWidth="1"/>
    <col min="14346" max="14346" width="11.28515625" style="230" customWidth="1"/>
    <col min="14347" max="14347" width="9.140625" style="230" hidden="1" customWidth="1"/>
    <col min="14348" max="14348" width="12.28515625" style="230" customWidth="1"/>
    <col min="14349" max="14356" width="9.140625" style="230" hidden="1" customWidth="1"/>
    <col min="14357" max="14592" width="9.140625" style="230"/>
    <col min="14593" max="14593" width="28.7109375" style="230" customWidth="1"/>
    <col min="14594" max="14594" width="12.140625" style="230" customWidth="1"/>
    <col min="14595" max="14601" width="9.140625" style="230" hidden="1" customWidth="1"/>
    <col min="14602" max="14602" width="11.28515625" style="230" customWidth="1"/>
    <col min="14603" max="14603" width="9.140625" style="230" hidden="1" customWidth="1"/>
    <col min="14604" max="14604" width="12.28515625" style="230" customWidth="1"/>
    <col min="14605" max="14612" width="9.140625" style="230" hidden="1" customWidth="1"/>
    <col min="14613" max="14848" width="9.140625" style="230"/>
    <col min="14849" max="14849" width="28.7109375" style="230" customWidth="1"/>
    <col min="14850" max="14850" width="12.140625" style="230" customWidth="1"/>
    <col min="14851" max="14857" width="9.140625" style="230" hidden="1" customWidth="1"/>
    <col min="14858" max="14858" width="11.28515625" style="230" customWidth="1"/>
    <col min="14859" max="14859" width="9.140625" style="230" hidden="1" customWidth="1"/>
    <col min="14860" max="14860" width="12.28515625" style="230" customWidth="1"/>
    <col min="14861" max="14868" width="9.140625" style="230" hidden="1" customWidth="1"/>
    <col min="14869" max="15104" width="9.140625" style="230"/>
    <col min="15105" max="15105" width="28.7109375" style="230" customWidth="1"/>
    <col min="15106" max="15106" width="12.140625" style="230" customWidth="1"/>
    <col min="15107" max="15113" width="9.140625" style="230" hidden="1" customWidth="1"/>
    <col min="15114" max="15114" width="11.28515625" style="230" customWidth="1"/>
    <col min="15115" max="15115" width="9.140625" style="230" hidden="1" customWidth="1"/>
    <col min="15116" max="15116" width="12.28515625" style="230" customWidth="1"/>
    <col min="15117" max="15124" width="9.140625" style="230" hidden="1" customWidth="1"/>
    <col min="15125" max="15360" width="9.140625" style="230"/>
    <col min="15361" max="15361" width="28.7109375" style="230" customWidth="1"/>
    <col min="15362" max="15362" width="12.140625" style="230" customWidth="1"/>
    <col min="15363" max="15369" width="9.140625" style="230" hidden="1" customWidth="1"/>
    <col min="15370" max="15370" width="11.28515625" style="230" customWidth="1"/>
    <col min="15371" max="15371" width="9.140625" style="230" hidden="1" customWidth="1"/>
    <col min="15372" max="15372" width="12.28515625" style="230" customWidth="1"/>
    <col min="15373" max="15380" width="9.140625" style="230" hidden="1" customWidth="1"/>
    <col min="15381" max="15616" width="9.140625" style="230"/>
    <col min="15617" max="15617" width="28.7109375" style="230" customWidth="1"/>
    <col min="15618" max="15618" width="12.140625" style="230" customWidth="1"/>
    <col min="15619" max="15625" width="9.140625" style="230" hidden="1" customWidth="1"/>
    <col min="15626" max="15626" width="11.28515625" style="230" customWidth="1"/>
    <col min="15627" max="15627" width="9.140625" style="230" hidden="1" customWidth="1"/>
    <col min="15628" max="15628" width="12.28515625" style="230" customWidth="1"/>
    <col min="15629" max="15636" width="9.140625" style="230" hidden="1" customWidth="1"/>
    <col min="15637" max="15872" width="9.140625" style="230"/>
    <col min="15873" max="15873" width="28.7109375" style="230" customWidth="1"/>
    <col min="15874" max="15874" width="12.140625" style="230" customWidth="1"/>
    <col min="15875" max="15881" width="9.140625" style="230" hidden="1" customWidth="1"/>
    <col min="15882" max="15882" width="11.28515625" style="230" customWidth="1"/>
    <col min="15883" max="15883" width="9.140625" style="230" hidden="1" customWidth="1"/>
    <col min="15884" max="15884" width="12.28515625" style="230" customWidth="1"/>
    <col min="15885" max="15892" width="9.140625" style="230" hidden="1" customWidth="1"/>
    <col min="15893" max="16128" width="9.140625" style="230"/>
    <col min="16129" max="16129" width="28.7109375" style="230" customWidth="1"/>
    <col min="16130" max="16130" width="12.140625" style="230" customWidth="1"/>
    <col min="16131" max="16137" width="9.140625" style="230" hidden="1" customWidth="1"/>
    <col min="16138" max="16138" width="11.28515625" style="230" customWidth="1"/>
    <col min="16139" max="16139" width="9.140625" style="230" hidden="1" customWidth="1"/>
    <col min="16140" max="16140" width="12.28515625" style="230" customWidth="1"/>
    <col min="16141" max="16148" width="9.140625" style="230" hidden="1" customWidth="1"/>
    <col min="16149" max="16384" width="9.140625" style="230"/>
  </cols>
  <sheetData>
    <row r="1" spans="1:27" ht="15.75" x14ac:dyDescent="0.25">
      <c r="A1" s="583" t="s">
        <v>3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</row>
    <row r="2" spans="1:27" ht="15.75" x14ac:dyDescent="0.25">
      <c r="A2" s="231"/>
      <c r="B2" s="232"/>
      <c r="C2" s="232"/>
      <c r="D2" s="232"/>
      <c r="E2" s="232"/>
      <c r="F2" s="232"/>
      <c r="G2" s="232"/>
      <c r="H2" s="232"/>
      <c r="I2" s="233"/>
      <c r="J2" s="232"/>
      <c r="K2" s="232"/>
      <c r="L2" s="233"/>
      <c r="M2" s="232"/>
      <c r="N2" s="232"/>
      <c r="O2" s="233"/>
      <c r="P2" s="233"/>
      <c r="Q2" s="232"/>
      <c r="R2" s="232"/>
      <c r="S2" s="232"/>
      <c r="T2" s="233"/>
      <c r="V2" s="230">
        <v>0.20978156178204815</v>
      </c>
      <c r="W2" s="230">
        <v>6.7001932595772057E-2</v>
      </c>
      <c r="X2" s="230">
        <v>0.11226255633959058</v>
      </c>
      <c r="Y2" s="230">
        <v>0.34504092410384801</v>
      </c>
      <c r="Z2" s="230">
        <v>9.8410959169971668E-2</v>
      </c>
      <c r="AA2" s="230">
        <v>0.16750206600876957</v>
      </c>
    </row>
    <row r="3" spans="1:27" ht="15" x14ac:dyDescent="0.25">
      <c r="A3" s="234"/>
      <c r="B3" s="235"/>
      <c r="C3" s="235"/>
      <c r="D3" s="235"/>
      <c r="E3" s="235"/>
      <c r="F3" s="235"/>
      <c r="G3" s="235"/>
      <c r="H3" s="235"/>
      <c r="I3" s="236"/>
      <c r="J3" s="235"/>
      <c r="K3" s="235"/>
      <c r="L3" s="236"/>
      <c r="M3" s="235"/>
      <c r="N3" s="235"/>
      <c r="O3" s="236"/>
      <c r="P3" s="236"/>
      <c r="Q3" s="235"/>
      <c r="R3" s="235"/>
      <c r="S3" s="235"/>
      <c r="T3" s="236"/>
    </row>
    <row r="4" spans="1:27" ht="15.75" x14ac:dyDescent="0.25">
      <c r="A4" s="237" t="s">
        <v>4</v>
      </c>
      <c r="B4" s="584"/>
      <c r="C4" s="585"/>
      <c r="D4" s="585"/>
      <c r="E4" s="585"/>
      <c r="F4" s="585"/>
      <c r="G4" s="585"/>
      <c r="H4" s="585"/>
      <c r="I4" s="585"/>
      <c r="J4" s="584" t="s">
        <v>6</v>
      </c>
      <c r="K4" s="584"/>
      <c r="L4" s="584"/>
      <c r="M4" s="584" t="s">
        <v>7</v>
      </c>
      <c r="N4" s="584"/>
      <c r="O4" s="584"/>
      <c r="P4" s="237" t="s">
        <v>8</v>
      </c>
      <c r="Q4" s="584" t="s">
        <v>9</v>
      </c>
      <c r="R4" s="584"/>
      <c r="S4" s="584"/>
      <c r="T4" s="238"/>
    </row>
    <row r="5" spans="1:27" ht="15.75" x14ac:dyDescent="0.25">
      <c r="A5" s="239"/>
      <c r="B5" s="240" t="s">
        <v>10</v>
      </c>
      <c r="C5" s="241" t="s">
        <v>11</v>
      </c>
      <c r="D5" s="241" t="s">
        <v>12</v>
      </c>
      <c r="E5" s="241" t="s">
        <v>13</v>
      </c>
      <c r="F5" s="241" t="s">
        <v>14</v>
      </c>
      <c r="G5" s="241" t="s">
        <v>15</v>
      </c>
      <c r="H5" s="241" t="s">
        <v>16</v>
      </c>
      <c r="I5" s="242" t="s">
        <v>17</v>
      </c>
      <c r="J5" s="241" t="s">
        <v>18</v>
      </c>
      <c r="K5" s="241" t="s">
        <v>19</v>
      </c>
      <c r="L5" s="242" t="s">
        <v>20</v>
      </c>
      <c r="M5" s="241" t="s">
        <v>21</v>
      </c>
      <c r="N5" s="241" t="s">
        <v>22</v>
      </c>
      <c r="O5" s="242" t="s">
        <v>20</v>
      </c>
      <c r="P5" s="242" t="s">
        <v>23</v>
      </c>
      <c r="Q5" s="241" t="s">
        <v>24</v>
      </c>
      <c r="R5" s="241" t="s">
        <v>25</v>
      </c>
      <c r="S5" s="241" t="s">
        <v>20</v>
      </c>
      <c r="T5" s="242" t="s">
        <v>26</v>
      </c>
    </row>
    <row r="6" spans="1:27" ht="15.75" x14ac:dyDescent="0.25">
      <c r="A6" s="584" t="s">
        <v>0</v>
      </c>
      <c r="B6" s="585"/>
      <c r="C6" s="585"/>
      <c r="D6" s="585"/>
      <c r="E6" s="585"/>
      <c r="F6" s="585"/>
      <c r="G6" s="585"/>
      <c r="H6" s="585"/>
      <c r="I6" s="585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</row>
    <row r="7" spans="1:27" ht="31.15" hidden="1" customHeight="1" x14ac:dyDescent="0.25">
      <c r="A7" s="239" t="s">
        <v>28</v>
      </c>
      <c r="B7" s="240" t="s">
        <v>29</v>
      </c>
      <c r="C7" s="243">
        <v>1.6400000000000001E-2</v>
      </c>
      <c r="D7" s="243">
        <v>1.6400000000000001E-2</v>
      </c>
      <c r="E7" s="243">
        <v>1.6400000000000001E-2</v>
      </c>
      <c r="F7" s="243">
        <v>1.6400000000000001E-2</v>
      </c>
      <c r="G7" s="243">
        <v>1.6400000000000001E-2</v>
      </c>
      <c r="H7" s="243">
        <v>1.6400000000000001E-2</v>
      </c>
      <c r="I7" s="244"/>
      <c r="J7" s="243">
        <v>1.6400000000000001E-2</v>
      </c>
      <c r="K7" s="243"/>
      <c r="L7" s="244"/>
      <c r="M7" s="241">
        <v>1.6400000000000001E-2</v>
      </c>
      <c r="N7" s="241">
        <v>1.6400000000000001E-2</v>
      </c>
      <c r="O7" s="242"/>
      <c r="P7" s="242">
        <v>1.6400000000000001E-2</v>
      </c>
      <c r="Q7" s="241">
        <v>1.6400000000000001E-2</v>
      </c>
      <c r="R7" s="241">
        <v>1.6400000000000001E-2</v>
      </c>
      <c r="S7" s="242"/>
      <c r="T7" s="242"/>
    </row>
    <row r="8" spans="1:27" ht="15.75" hidden="1" x14ac:dyDescent="0.25">
      <c r="A8" s="245" t="s">
        <v>30</v>
      </c>
      <c r="B8" s="238" t="s">
        <v>31</v>
      </c>
      <c r="C8" s="246">
        <f t="shared" ref="C8:H8" si="0">C7*C9</f>
        <v>11.064089129256798</v>
      </c>
      <c r="D8" s="246">
        <f t="shared" si="0"/>
        <v>3.5337488565475814</v>
      </c>
      <c r="E8" s="246">
        <f t="shared" si="0"/>
        <v>5.9208393658061373</v>
      </c>
      <c r="F8" s="246">
        <f t="shared" si="0"/>
        <v>18.197803015177996</v>
      </c>
      <c r="G8" s="246">
        <f t="shared" si="0"/>
        <v>5.1902922940551468</v>
      </c>
      <c r="H8" s="246">
        <f t="shared" si="0"/>
        <v>8.8342262871563424</v>
      </c>
      <c r="I8" s="246">
        <f>SUM(C8:H8)</f>
        <v>52.740998948000005</v>
      </c>
      <c r="J8" s="247"/>
      <c r="K8" s="247"/>
      <c r="L8" s="248"/>
      <c r="M8" s="246">
        <f>M7*M9</f>
        <v>52.559905284109</v>
      </c>
      <c r="N8" s="246">
        <f>N7*N9</f>
        <v>28.456616021546949</v>
      </c>
      <c r="O8" s="249">
        <f>SUM(M8:N8)</f>
        <v>81.016521305655942</v>
      </c>
      <c r="P8" s="246">
        <f>P7*P9</f>
        <v>53.517604825160006</v>
      </c>
      <c r="Q8" s="246">
        <f>Q7*Q9</f>
        <v>18.843990380359863</v>
      </c>
      <c r="R8" s="246">
        <f>R7*R9</f>
        <v>33.266818450665411</v>
      </c>
      <c r="S8" s="249">
        <f>SUM(Q8:R8)</f>
        <v>52.110808831025274</v>
      </c>
      <c r="T8" s="249">
        <f>I8+L8+O8+P8+S8</f>
        <v>239.38593390984124</v>
      </c>
    </row>
    <row r="9" spans="1:27" ht="15.75" x14ac:dyDescent="0.25">
      <c r="A9" s="250" t="s">
        <v>32</v>
      </c>
      <c r="B9" s="251" t="s">
        <v>33</v>
      </c>
      <c r="C9" s="252">
        <f>V2*I9</f>
        <v>674.63958105224378</v>
      </c>
      <c r="D9" s="252">
        <f>I9*W2</f>
        <v>215.47249125290128</v>
      </c>
      <c r="E9" s="252">
        <f>I9*X2</f>
        <v>361.02679059793519</v>
      </c>
      <c r="F9" s="252">
        <f>I9*Y2</f>
        <v>1109.622135071829</v>
      </c>
      <c r="G9" s="252">
        <f>I9*Z2</f>
        <v>316.481237442387</v>
      </c>
      <c r="H9" s="252">
        <f>I9*AA2</f>
        <v>538.6723345827038</v>
      </c>
      <c r="I9" s="253">
        <f>[4]витим!F40</f>
        <v>3215.9145699999999</v>
      </c>
      <c r="J9" s="254" t="e">
        <f>#REF!</f>
        <v>#REF!</v>
      </c>
      <c r="K9" s="254"/>
      <c r="L9" s="253" t="e">
        <f>SUM(J9:K9)</f>
        <v>#REF!</v>
      </c>
      <c r="M9" s="252">
        <f>'[1]расчет объема'!$G$19</f>
        <v>3204.8722734212802</v>
      </c>
      <c r="N9" s="252">
        <f>'[1]расчет объема'!$G$20</f>
        <v>1735.1595135089601</v>
      </c>
      <c r="O9" s="255">
        <f>SUM(M9:N9)</f>
        <v>4940.0317869302398</v>
      </c>
      <c r="P9" s="255">
        <f>'[1]расчет объема'!$G$23</f>
        <v>3263.2685869000002</v>
      </c>
      <c r="Q9" s="252">
        <f>'[1]расчет объема'!$G$25</f>
        <v>1149.0238036804794</v>
      </c>
      <c r="R9" s="252">
        <f>'[1]расчет объема'!$G$26</f>
        <v>2028.4645396747198</v>
      </c>
      <c r="S9" s="255">
        <f>SUM(Q9:R9)</f>
        <v>3177.4883433551995</v>
      </c>
      <c r="T9" s="249" t="e">
        <f>I9+L9+O9+P9+S9</f>
        <v>#REF!</v>
      </c>
    </row>
    <row r="10" spans="1:27" ht="33" customHeight="1" x14ac:dyDescent="0.25">
      <c r="A10" s="239" t="s">
        <v>34</v>
      </c>
      <c r="B10" s="251" t="s">
        <v>29</v>
      </c>
      <c r="C10" s="251">
        <v>2.0400000000000001E-2</v>
      </c>
      <c r="D10" s="251">
        <v>2.0400000000000001E-2</v>
      </c>
      <c r="E10" s="251">
        <v>2.0400000000000001E-2</v>
      </c>
      <c r="F10" s="251">
        <v>2.0400000000000001E-2</v>
      </c>
      <c r="G10" s="251">
        <v>2.0400000000000001E-2</v>
      </c>
      <c r="H10" s="251">
        <v>2.0400000000000001E-2</v>
      </c>
      <c r="I10" s="256"/>
      <c r="J10" s="251">
        <v>2.4E-2</v>
      </c>
      <c r="K10" s="251"/>
      <c r="L10" s="257"/>
      <c r="M10" s="251">
        <v>2.0400000000000001E-2</v>
      </c>
      <c r="N10" s="251">
        <v>2.0400000000000001E-2</v>
      </c>
      <c r="O10" s="257"/>
      <c r="P10" s="257">
        <v>2.0400000000000001E-2</v>
      </c>
      <c r="Q10" s="251">
        <v>2.0400000000000001E-2</v>
      </c>
      <c r="R10" s="251">
        <v>2.0400000000000001E-2</v>
      </c>
      <c r="S10" s="257"/>
      <c r="T10" s="257"/>
    </row>
    <row r="11" spans="1:27" ht="31.5" x14ac:dyDescent="0.25">
      <c r="A11" s="239" t="s">
        <v>35</v>
      </c>
      <c r="B11" s="251" t="s">
        <v>36</v>
      </c>
      <c r="C11" s="251">
        <v>12.9</v>
      </c>
      <c r="D11" s="251">
        <v>12.9</v>
      </c>
      <c r="E11" s="251">
        <v>12.9</v>
      </c>
      <c r="F11" s="251">
        <v>12.9</v>
      </c>
      <c r="G11" s="251">
        <v>12.9</v>
      </c>
      <c r="H11" s="251">
        <v>12.9</v>
      </c>
      <c r="I11" s="258"/>
      <c r="J11" s="251">
        <f>H11</f>
        <v>12.9</v>
      </c>
      <c r="K11" s="251"/>
      <c r="L11" s="251">
        <v>18</v>
      </c>
      <c r="M11" s="259">
        <v>18</v>
      </c>
      <c r="N11" s="259">
        <v>18</v>
      </c>
      <c r="O11" s="259">
        <v>18</v>
      </c>
      <c r="P11" s="259">
        <v>18</v>
      </c>
      <c r="Q11" s="259">
        <v>18</v>
      </c>
      <c r="R11" s="259">
        <v>18</v>
      </c>
      <c r="S11" s="259">
        <v>18</v>
      </c>
      <c r="T11" s="259">
        <v>18</v>
      </c>
    </row>
    <row r="12" spans="1:27" ht="15.75" x14ac:dyDescent="0.25">
      <c r="A12" s="250" t="s">
        <v>37</v>
      </c>
      <c r="B12" s="251" t="s">
        <v>33</v>
      </c>
      <c r="C12" s="260">
        <f t="shared" ref="C12:H12" si="1">C9*C11/100</f>
        <v>87.028505955739462</v>
      </c>
      <c r="D12" s="260">
        <f t="shared" si="1"/>
        <v>27.795951371624266</v>
      </c>
      <c r="E12" s="260">
        <f t="shared" si="1"/>
        <v>46.572455987133644</v>
      </c>
      <c r="F12" s="260">
        <f t="shared" si="1"/>
        <v>143.14125542426595</v>
      </c>
      <c r="G12" s="260">
        <f t="shared" si="1"/>
        <v>40.826079630067923</v>
      </c>
      <c r="H12" s="260">
        <f t="shared" si="1"/>
        <v>69.488731161168786</v>
      </c>
      <c r="I12" s="253">
        <f>SUM(C12:H12)</f>
        <v>414.85297953000003</v>
      </c>
      <c r="J12" s="261" t="e">
        <f>J9*J11/100</f>
        <v>#REF!</v>
      </c>
      <c r="K12" s="261"/>
      <c r="L12" s="248" t="e">
        <f>SUM(J12:K12)</f>
        <v>#REF!</v>
      </c>
      <c r="M12" s="260">
        <f>M9*M11/100</f>
        <v>576.87700921583041</v>
      </c>
      <c r="N12" s="260">
        <f>N9*N11/100</f>
        <v>312.32871243161281</v>
      </c>
      <c r="O12" s="249">
        <f>SUM(M12:N12)</f>
        <v>889.20572164744317</v>
      </c>
      <c r="P12" s="246">
        <f>P9*P11/100</f>
        <v>587.3883456420001</v>
      </c>
      <c r="Q12" s="260">
        <f>Q9*Q11/100</f>
        <v>206.82428466248632</v>
      </c>
      <c r="R12" s="260">
        <f>R9*R11/100</f>
        <v>365.12361714144959</v>
      </c>
      <c r="S12" s="249">
        <f>SUM(Q12:R12)</f>
        <v>571.94790180393591</v>
      </c>
      <c r="T12" s="249" t="e">
        <f>I12+L12+O12+P12+S12</f>
        <v>#REF!</v>
      </c>
    </row>
    <row r="13" spans="1:27" ht="49.9" customHeight="1" x14ac:dyDescent="0.2">
      <c r="A13" s="262" t="s">
        <v>38</v>
      </c>
      <c r="B13" s="257" t="s">
        <v>31</v>
      </c>
      <c r="C13" s="247">
        <f t="shared" ref="C13:H13" si="2">C10*C12</f>
        <v>1.7753815214970852</v>
      </c>
      <c r="D13" s="247">
        <f t="shared" si="2"/>
        <v>0.56703740798113511</v>
      </c>
      <c r="E13" s="247">
        <f t="shared" si="2"/>
        <v>0.95007810213752641</v>
      </c>
      <c r="F13" s="247">
        <f t="shared" si="2"/>
        <v>2.9200816106550254</v>
      </c>
      <c r="G13" s="247">
        <f t="shared" si="2"/>
        <v>0.83285202445338569</v>
      </c>
      <c r="H13" s="247">
        <f t="shared" si="2"/>
        <v>1.4175701156878433</v>
      </c>
      <c r="I13" s="253">
        <f>SUM(C13:H13)</f>
        <v>8.463000782412001</v>
      </c>
      <c r="J13" s="247" t="e">
        <f>J10*J12</f>
        <v>#REF!</v>
      </c>
      <c r="K13" s="247"/>
      <c r="L13" s="248" t="e">
        <f>SUM(J13:K13)</f>
        <v>#REF!</v>
      </c>
      <c r="M13" s="247">
        <f>M10*M12</f>
        <v>11.768290988002942</v>
      </c>
      <c r="N13" s="247">
        <f>N10*N12</f>
        <v>6.3715057336049021</v>
      </c>
      <c r="O13" s="248">
        <f>SUM(M13:N13)</f>
        <v>18.139796721607844</v>
      </c>
      <c r="P13" s="247">
        <f>P10*P12</f>
        <v>11.982722251096803</v>
      </c>
      <c r="Q13" s="247">
        <f>Q10*Q12</f>
        <v>4.2192154071147216</v>
      </c>
      <c r="R13" s="247">
        <f>R10*R12</f>
        <v>7.4485217896855724</v>
      </c>
      <c r="S13" s="248">
        <f>SUM(Q13:R13)</f>
        <v>11.667737196800294</v>
      </c>
      <c r="T13" s="248" t="e">
        <f>I13+L13+O13+P13+S13</f>
        <v>#REF!</v>
      </c>
    </row>
    <row r="14" spans="1:27" ht="15.75" x14ac:dyDescent="0.25">
      <c r="A14" s="250" t="s">
        <v>39</v>
      </c>
      <c r="B14" s="251" t="s">
        <v>40</v>
      </c>
      <c r="C14" s="263">
        <f>5400/1.2</f>
        <v>4500</v>
      </c>
      <c r="D14" s="263">
        <f>C14</f>
        <v>4500</v>
      </c>
      <c r="E14" s="263">
        <f>D14</f>
        <v>4500</v>
      </c>
      <c r="F14" s="263">
        <f>E14</f>
        <v>4500</v>
      </c>
      <c r="G14" s="263">
        <f>F14</f>
        <v>4500</v>
      </c>
      <c r="H14" s="263">
        <f>G14</f>
        <v>4500</v>
      </c>
      <c r="I14" s="264"/>
      <c r="J14" s="251">
        <f>[4]гуртовка!B16/1.2</f>
        <v>4684.5</v>
      </c>
      <c r="K14" s="251"/>
      <c r="L14" s="251">
        <f>J14</f>
        <v>4684.5</v>
      </c>
      <c r="M14" s="259">
        <v>5400</v>
      </c>
      <c r="N14" s="259">
        <v>5400</v>
      </c>
      <c r="O14" s="259">
        <v>5400</v>
      </c>
      <c r="P14" s="259">
        <v>5400</v>
      </c>
      <c r="Q14" s="259">
        <v>5400</v>
      </c>
      <c r="R14" s="259">
        <v>5400</v>
      </c>
      <c r="S14" s="259">
        <v>5400</v>
      </c>
      <c r="T14" s="259">
        <v>5400</v>
      </c>
    </row>
    <row r="15" spans="1:27" ht="15.75" x14ac:dyDescent="0.25">
      <c r="A15" s="250" t="s">
        <v>41</v>
      </c>
      <c r="B15" s="251" t="s">
        <v>31</v>
      </c>
      <c r="C15" s="260">
        <f t="shared" ref="C15:H15" si="3">C8+C13</f>
        <v>12.839470650753883</v>
      </c>
      <c r="D15" s="260">
        <f t="shared" si="3"/>
        <v>4.1007862645287165</v>
      </c>
      <c r="E15" s="260">
        <f t="shared" si="3"/>
        <v>6.8709174679436638</v>
      </c>
      <c r="F15" s="260">
        <f t="shared" si="3"/>
        <v>21.117884625833021</v>
      </c>
      <c r="G15" s="260">
        <f t="shared" si="3"/>
        <v>6.0231443185085327</v>
      </c>
      <c r="H15" s="260">
        <f t="shared" si="3"/>
        <v>10.251796402844185</v>
      </c>
      <c r="I15" s="253">
        <f>SUM(C15:H15)</f>
        <v>61.203999730412008</v>
      </c>
      <c r="J15" s="261" t="e">
        <f>J8+J13</f>
        <v>#REF!</v>
      </c>
      <c r="K15" s="261"/>
      <c r="L15" s="248" t="e">
        <f>SUM(J15:K15)</f>
        <v>#REF!</v>
      </c>
      <c r="M15" s="260">
        <f t="shared" ref="M15:R15" si="4">M8+M13</f>
        <v>64.328196272111938</v>
      </c>
      <c r="N15" s="260">
        <f t="shared" si="4"/>
        <v>34.828121755151855</v>
      </c>
      <c r="O15" s="249">
        <f>SUM(M15:N15)</f>
        <v>99.156318027263794</v>
      </c>
      <c r="P15" s="246">
        <f t="shared" si="4"/>
        <v>65.500327076256809</v>
      </c>
      <c r="Q15" s="260">
        <f t="shared" si="4"/>
        <v>23.063205787474583</v>
      </c>
      <c r="R15" s="260">
        <f t="shared" si="4"/>
        <v>40.715340240350983</v>
      </c>
      <c r="S15" s="249">
        <f>SUM(Q15:R15)</f>
        <v>63.77854602782557</v>
      </c>
      <c r="T15" s="249" t="e">
        <f>I15+L15+O15+P15+S15</f>
        <v>#REF!</v>
      </c>
    </row>
    <row r="16" spans="1:27" ht="31.5" x14ac:dyDescent="0.25">
      <c r="A16" s="265" t="s">
        <v>73</v>
      </c>
      <c r="B16" s="257" t="s">
        <v>43</v>
      </c>
      <c r="C16" s="247">
        <f t="shared" ref="C16:H16" si="5">(C15)*C14/1000</f>
        <v>57.777617928392473</v>
      </c>
      <c r="D16" s="247">
        <f t="shared" si="5"/>
        <v>18.453538190379227</v>
      </c>
      <c r="E16" s="247">
        <f t="shared" si="5"/>
        <v>30.919128605746486</v>
      </c>
      <c r="F16" s="247">
        <f t="shared" si="5"/>
        <v>95.030480816248598</v>
      </c>
      <c r="G16" s="247">
        <f t="shared" si="5"/>
        <v>27.104149433288395</v>
      </c>
      <c r="H16" s="247">
        <f t="shared" si="5"/>
        <v>46.13308381279883</v>
      </c>
      <c r="I16" s="253">
        <f>SUM(C16:H16)</f>
        <v>275.41799878685401</v>
      </c>
      <c r="J16" s="247" t="e">
        <f>(J8+J13)*J14/1000</f>
        <v>#REF!</v>
      </c>
      <c r="K16" s="247"/>
      <c r="L16" s="248" t="e">
        <f>SUM(J16:K16)</f>
        <v>#REF!</v>
      </c>
      <c r="M16" s="246">
        <f t="shared" ref="M16:R16" si="6">(M8+M13)*M14/1000</f>
        <v>347.3722598694045</v>
      </c>
      <c r="N16" s="246">
        <f t="shared" si="6"/>
        <v>188.07185747782</v>
      </c>
      <c r="O16" s="249">
        <f>SUM(M16:N16)</f>
        <v>535.44411734722451</v>
      </c>
      <c r="P16" s="246">
        <f t="shared" si="6"/>
        <v>353.70176621178678</v>
      </c>
      <c r="Q16" s="246">
        <f t="shared" si="6"/>
        <v>124.54131125236275</v>
      </c>
      <c r="R16" s="246">
        <f t="shared" si="6"/>
        <v>219.86283729789531</v>
      </c>
      <c r="S16" s="249">
        <f>SUM(Q16:R16)</f>
        <v>344.40414855025807</v>
      </c>
      <c r="T16" s="249" t="e">
        <f>I16+L16+O16+P16+S16</f>
        <v>#REF!</v>
      </c>
    </row>
    <row r="17" spans="1:20" ht="15.75" x14ac:dyDescent="0.25">
      <c r="A17" s="580" t="s">
        <v>1</v>
      </c>
      <c r="B17" s="580"/>
      <c r="C17" s="580"/>
      <c r="D17" s="580"/>
      <c r="E17" s="580"/>
      <c r="F17" s="580"/>
      <c r="G17" s="580"/>
      <c r="H17" s="580"/>
      <c r="I17" s="580"/>
      <c r="J17" s="580"/>
      <c r="K17" s="580"/>
      <c r="L17" s="580"/>
      <c r="M17" s="580"/>
      <c r="N17" s="580"/>
      <c r="O17" s="580"/>
      <c r="P17" s="580"/>
      <c r="Q17" s="580"/>
      <c r="R17" s="580"/>
      <c r="S17" s="580"/>
      <c r="T17" s="580"/>
    </row>
    <row r="18" spans="1:20" ht="15.75" x14ac:dyDescent="0.25">
      <c r="A18" s="265" t="s">
        <v>1</v>
      </c>
      <c r="B18" s="257" t="s">
        <v>31</v>
      </c>
      <c r="C18" s="246">
        <f t="shared" ref="C18:H18" si="7">C28*C29</f>
        <v>8.0849482032881941</v>
      </c>
      <c r="D18" s="246">
        <f t="shared" si="7"/>
        <v>2.4664274183754604</v>
      </c>
      <c r="E18" s="246">
        <f t="shared" si="7"/>
        <v>4.132529261258326</v>
      </c>
      <c r="F18" s="246">
        <f t="shared" si="7"/>
        <v>15.087088321717632</v>
      </c>
      <c r="G18" s="246">
        <f t="shared" si="7"/>
        <v>3.7927427976333097</v>
      </c>
      <c r="H18" s="246">
        <f t="shared" si="7"/>
        <v>6.45550312487258</v>
      </c>
      <c r="I18" s="253">
        <f>SUM(C18:H18)</f>
        <v>40.019239127145497</v>
      </c>
      <c r="J18" s="247" t="e">
        <f t="shared" ref="J18:R18" si="8">J28*J29</f>
        <v>#REF!</v>
      </c>
      <c r="K18" s="247"/>
      <c r="L18" s="247" t="e">
        <f>SUM(J18:K18)</f>
        <v>#REF!</v>
      </c>
      <c r="M18" s="246">
        <f t="shared" si="8"/>
        <v>28.525194589034207</v>
      </c>
      <c r="N18" s="246">
        <f>N28*N29</f>
        <v>12.841171919688309</v>
      </c>
      <c r="O18" s="246">
        <f>SUM(M18:N18)</f>
        <v>41.366366508722514</v>
      </c>
      <c r="P18" s="246">
        <f t="shared" si="8"/>
        <v>314.68637561679793</v>
      </c>
      <c r="Q18" s="246">
        <f t="shared" si="8"/>
        <v>10.719407210792861</v>
      </c>
      <c r="R18" s="246">
        <f t="shared" si="8"/>
        <v>20.749453556981234</v>
      </c>
      <c r="S18" s="246">
        <f>SUM(Q18:R18)</f>
        <v>31.468860767774096</v>
      </c>
      <c r="T18" s="249" t="e">
        <f>I18+L18+O18+P18+S18</f>
        <v>#REF!</v>
      </c>
    </row>
    <row r="19" spans="1:20" ht="33.6" customHeight="1" x14ac:dyDescent="0.25">
      <c r="A19" s="239" t="s">
        <v>44</v>
      </c>
      <c r="B19" s="251" t="s">
        <v>45</v>
      </c>
      <c r="C19" s="266">
        <f>1.5*2</f>
        <v>3</v>
      </c>
      <c r="D19" s="266">
        <f>1*2</f>
        <v>2</v>
      </c>
      <c r="E19" s="266">
        <f>1*2</f>
        <v>2</v>
      </c>
      <c r="F19" s="266">
        <f>3*2</f>
        <v>6</v>
      </c>
      <c r="G19" s="266">
        <f>1.5*2</f>
        <v>3</v>
      </c>
      <c r="H19" s="266">
        <f>1.5*2</f>
        <v>3</v>
      </c>
      <c r="I19" s="253"/>
      <c r="J19" s="251">
        <f>1*2</f>
        <v>2</v>
      </c>
      <c r="K19" s="251"/>
      <c r="L19" s="257"/>
      <c r="M19" s="251">
        <f>1*2</f>
        <v>2</v>
      </c>
      <c r="N19" s="251">
        <v>0</v>
      </c>
      <c r="O19" s="257"/>
      <c r="P19" s="257">
        <v>0.8</v>
      </c>
      <c r="Q19" s="251">
        <v>0</v>
      </c>
      <c r="R19" s="251">
        <v>1.2</v>
      </c>
      <c r="S19" s="257"/>
      <c r="T19" s="257"/>
    </row>
    <row r="20" spans="1:20" ht="15.75" x14ac:dyDescent="0.25">
      <c r="A20" s="250" t="s">
        <v>46</v>
      </c>
      <c r="B20" s="251" t="s">
        <v>47</v>
      </c>
      <c r="C20" s="259">
        <v>24</v>
      </c>
      <c r="D20" s="259">
        <v>24</v>
      </c>
      <c r="E20" s="259">
        <v>24</v>
      </c>
      <c r="F20" s="259">
        <v>24</v>
      </c>
      <c r="G20" s="259">
        <v>24</v>
      </c>
      <c r="H20" s="259">
        <v>24</v>
      </c>
      <c r="I20" s="267"/>
      <c r="J20" s="251">
        <v>24</v>
      </c>
      <c r="K20" s="251"/>
      <c r="L20" s="257">
        <v>24</v>
      </c>
      <c r="M20" s="259">
        <v>24</v>
      </c>
      <c r="N20" s="259">
        <v>24</v>
      </c>
      <c r="O20" s="237">
        <v>24</v>
      </c>
      <c r="P20" s="237">
        <v>24</v>
      </c>
      <c r="Q20" s="259">
        <v>24</v>
      </c>
      <c r="R20" s="259">
        <v>24</v>
      </c>
      <c r="S20" s="237">
        <v>24</v>
      </c>
      <c r="T20" s="237">
        <v>24</v>
      </c>
    </row>
    <row r="21" spans="1:20" ht="42.6" customHeight="1" x14ac:dyDescent="0.25">
      <c r="A21" s="239" t="s">
        <v>48</v>
      </c>
      <c r="B21" s="251" t="s">
        <v>45</v>
      </c>
      <c r="C21" s="266">
        <f t="shared" ref="C21:H21" si="9">7*2</f>
        <v>14</v>
      </c>
      <c r="D21" s="266">
        <f t="shared" si="9"/>
        <v>14</v>
      </c>
      <c r="E21" s="266">
        <f t="shared" si="9"/>
        <v>14</v>
      </c>
      <c r="F21" s="266">
        <f t="shared" si="9"/>
        <v>14</v>
      </c>
      <c r="G21" s="266">
        <f t="shared" si="9"/>
        <v>14</v>
      </c>
      <c r="H21" s="266">
        <f t="shared" si="9"/>
        <v>14</v>
      </c>
      <c r="I21" s="267"/>
      <c r="J21" s="251">
        <f>5*2</f>
        <v>10</v>
      </c>
      <c r="K21" s="251"/>
      <c r="L21" s="257"/>
      <c r="M21" s="251">
        <f>1.5*2</f>
        <v>3</v>
      </c>
      <c r="N21" s="251">
        <f>1.5*2</f>
        <v>3</v>
      </c>
      <c r="O21" s="257"/>
      <c r="P21" s="257">
        <v>5</v>
      </c>
      <c r="Q21" s="251">
        <v>6</v>
      </c>
      <c r="R21" s="251">
        <v>6</v>
      </c>
      <c r="S21" s="257"/>
      <c r="T21" s="257"/>
    </row>
    <row r="22" spans="1:20" ht="15.75" x14ac:dyDescent="0.25">
      <c r="A22" s="250" t="s">
        <v>49</v>
      </c>
      <c r="B22" s="251" t="s">
        <v>47</v>
      </c>
      <c r="C22" s="259">
        <v>28</v>
      </c>
      <c r="D22" s="259">
        <v>28</v>
      </c>
      <c r="E22" s="259">
        <v>28</v>
      </c>
      <c r="F22" s="259">
        <v>28</v>
      </c>
      <c r="G22" s="259">
        <v>28</v>
      </c>
      <c r="H22" s="259">
        <v>28</v>
      </c>
      <c r="I22" s="267"/>
      <c r="J22" s="251">
        <v>28</v>
      </c>
      <c r="K22" s="251"/>
      <c r="L22" s="257">
        <v>28</v>
      </c>
      <c r="M22" s="259">
        <v>28</v>
      </c>
      <c r="N22" s="259">
        <v>28</v>
      </c>
      <c r="O22" s="237">
        <v>28</v>
      </c>
      <c r="P22" s="237">
        <v>28</v>
      </c>
      <c r="Q22" s="259">
        <v>28</v>
      </c>
      <c r="R22" s="259">
        <v>28</v>
      </c>
      <c r="S22" s="237">
        <v>28</v>
      </c>
      <c r="T22" s="237">
        <v>28</v>
      </c>
    </row>
    <row r="23" spans="1:20" ht="15.75" x14ac:dyDescent="0.25">
      <c r="A23" s="250" t="s">
        <v>50</v>
      </c>
      <c r="B23" s="251" t="s">
        <v>51</v>
      </c>
      <c r="C23" s="260">
        <f t="shared" ref="C23:H23" si="10">(C19/C20+C21/C22)</f>
        <v>0.625</v>
      </c>
      <c r="D23" s="260">
        <f t="shared" si="10"/>
        <v>0.58333333333333337</v>
      </c>
      <c r="E23" s="260">
        <f t="shared" si="10"/>
        <v>0.58333333333333337</v>
      </c>
      <c r="F23" s="260">
        <f t="shared" si="10"/>
        <v>0.75</v>
      </c>
      <c r="G23" s="260">
        <f t="shared" si="10"/>
        <v>0.625</v>
      </c>
      <c r="H23" s="260">
        <f t="shared" si="10"/>
        <v>0.625</v>
      </c>
      <c r="I23" s="253"/>
      <c r="J23" s="261">
        <f>(J19/J20+J21/J22)</f>
        <v>0.44047619047619047</v>
      </c>
      <c r="K23" s="261"/>
      <c r="L23" s="247"/>
      <c r="M23" s="260">
        <f>(M19/M20+M21/M22)</f>
        <v>0.19047619047619047</v>
      </c>
      <c r="N23" s="260">
        <f>(N19/N20+N21/N22)</f>
        <v>0.10714285714285714</v>
      </c>
      <c r="O23" s="246"/>
      <c r="P23" s="246">
        <f>(P19/P20+P21/P22)</f>
        <v>0.2119047619047619</v>
      </c>
      <c r="Q23" s="260">
        <f>(Q19/Q20+Q21/Q22)</f>
        <v>0.21428571428571427</v>
      </c>
      <c r="R23" s="260">
        <f>(R19/R20+R21/R22)</f>
        <v>0.26428571428571429</v>
      </c>
      <c r="S23" s="246"/>
      <c r="T23" s="237"/>
    </row>
    <row r="24" spans="1:20" ht="30" customHeight="1" x14ac:dyDescent="0.2">
      <c r="A24" s="268" t="s">
        <v>52</v>
      </c>
      <c r="B24" s="251" t="s">
        <v>51</v>
      </c>
      <c r="C24" s="269">
        <f t="shared" ref="C24:H24" si="11">C10*C30</f>
        <v>0.20400000000000001</v>
      </c>
      <c r="D24" s="269">
        <f t="shared" si="11"/>
        <v>0.20400000000000001</v>
      </c>
      <c r="E24" s="269">
        <f t="shared" si="11"/>
        <v>0.20400000000000001</v>
      </c>
      <c r="F24" s="269">
        <f t="shared" si="11"/>
        <v>0.20400000000000001</v>
      </c>
      <c r="G24" s="269">
        <f t="shared" si="11"/>
        <v>0.20400000000000001</v>
      </c>
      <c r="H24" s="269">
        <f t="shared" si="11"/>
        <v>0.20400000000000001</v>
      </c>
      <c r="I24" s="270"/>
      <c r="J24" s="269">
        <f t="shared" ref="J24:R24" si="12">J10*J30</f>
        <v>0.24</v>
      </c>
      <c r="K24" s="269"/>
      <c r="L24" s="271"/>
      <c r="M24" s="269">
        <f t="shared" si="12"/>
        <v>0.20400000000000001</v>
      </c>
      <c r="N24" s="269">
        <f t="shared" si="12"/>
        <v>0.20400000000000001</v>
      </c>
      <c r="O24" s="271"/>
      <c r="P24" s="271">
        <f t="shared" si="12"/>
        <v>0.36720000000000003</v>
      </c>
      <c r="Q24" s="269">
        <f t="shared" si="12"/>
        <v>0.20400000000000001</v>
      </c>
      <c r="R24" s="269">
        <f t="shared" si="12"/>
        <v>0.20400000000000001</v>
      </c>
      <c r="S24" s="271"/>
      <c r="T24" s="257"/>
    </row>
    <row r="25" spans="1:20" ht="31.5" x14ac:dyDescent="0.25">
      <c r="A25" s="268" t="s">
        <v>53</v>
      </c>
      <c r="B25" s="251" t="s">
        <v>51</v>
      </c>
      <c r="C25" s="269">
        <v>0.1</v>
      </c>
      <c r="D25" s="269">
        <v>0.1</v>
      </c>
      <c r="E25" s="269">
        <v>0.1</v>
      </c>
      <c r="F25" s="269">
        <v>0.1</v>
      </c>
      <c r="G25" s="269">
        <v>0.1</v>
      </c>
      <c r="H25" s="269">
        <v>0.1</v>
      </c>
      <c r="I25" s="253"/>
      <c r="J25" s="269">
        <v>0.1</v>
      </c>
      <c r="K25" s="269"/>
      <c r="L25" s="271"/>
      <c r="M25" s="272">
        <v>0.1</v>
      </c>
      <c r="N25" s="272">
        <v>0.1</v>
      </c>
      <c r="O25" s="273"/>
      <c r="P25" s="273">
        <v>0.1</v>
      </c>
      <c r="Q25" s="272">
        <v>0.1</v>
      </c>
      <c r="R25" s="272">
        <v>0.1</v>
      </c>
      <c r="S25" s="273"/>
      <c r="T25" s="237"/>
    </row>
    <row r="26" spans="1:20" ht="15.75" x14ac:dyDescent="0.25">
      <c r="A26" s="239" t="s">
        <v>54</v>
      </c>
      <c r="B26" s="251" t="s">
        <v>51</v>
      </c>
      <c r="C26" s="260">
        <f t="shared" ref="C26:H26" si="13">C23+C24+C25</f>
        <v>0.92899999999999994</v>
      </c>
      <c r="D26" s="260">
        <f t="shared" si="13"/>
        <v>0.88733333333333342</v>
      </c>
      <c r="E26" s="260">
        <f t="shared" si="13"/>
        <v>0.88733333333333342</v>
      </c>
      <c r="F26" s="260">
        <f t="shared" si="13"/>
        <v>1.054</v>
      </c>
      <c r="G26" s="260">
        <f t="shared" si="13"/>
        <v>0.92899999999999994</v>
      </c>
      <c r="H26" s="260">
        <f t="shared" si="13"/>
        <v>0.92899999999999994</v>
      </c>
      <c r="I26" s="253"/>
      <c r="J26" s="261">
        <f>J23+J24+J25</f>
        <v>0.78047619047619043</v>
      </c>
      <c r="K26" s="261"/>
      <c r="L26" s="247"/>
      <c r="M26" s="260">
        <f>M23+M24+M25</f>
        <v>0.49447619047619051</v>
      </c>
      <c r="N26" s="260">
        <f>N23+N24+N25</f>
        <v>0.41114285714285714</v>
      </c>
      <c r="O26" s="246"/>
      <c r="P26" s="246">
        <f>P23+P24+P25</f>
        <v>0.67910476190476188</v>
      </c>
      <c r="Q26" s="260">
        <f>Q23+Q24+Q25</f>
        <v>0.51828571428571424</v>
      </c>
      <c r="R26" s="260">
        <f>R23+R24+R25</f>
        <v>0.56828571428571428</v>
      </c>
      <c r="S26" s="246"/>
      <c r="T26" s="237"/>
    </row>
    <row r="27" spans="1:20" ht="15.75" x14ac:dyDescent="0.2">
      <c r="A27" s="274" t="s">
        <v>55</v>
      </c>
      <c r="B27" s="251" t="s">
        <v>51</v>
      </c>
      <c r="C27" s="269">
        <v>1</v>
      </c>
      <c r="D27" s="269">
        <v>1</v>
      </c>
      <c r="E27" s="269">
        <v>1</v>
      </c>
      <c r="F27" s="269">
        <v>1</v>
      </c>
      <c r="G27" s="269">
        <v>1</v>
      </c>
      <c r="H27" s="269">
        <v>1</v>
      </c>
      <c r="I27" s="253"/>
      <c r="J27" s="269">
        <v>1</v>
      </c>
      <c r="K27" s="269"/>
      <c r="L27" s="271"/>
      <c r="M27" s="269">
        <v>1</v>
      </c>
      <c r="N27" s="269">
        <v>1</v>
      </c>
      <c r="O27" s="271"/>
      <c r="P27" s="271">
        <v>14.2</v>
      </c>
      <c r="Q27" s="269">
        <v>1</v>
      </c>
      <c r="R27" s="269">
        <v>1</v>
      </c>
      <c r="S27" s="271"/>
      <c r="T27" s="257"/>
    </row>
    <row r="28" spans="1:20" ht="15.75" x14ac:dyDescent="0.25">
      <c r="A28" s="239" t="s">
        <v>54</v>
      </c>
      <c r="B28" s="251" t="s">
        <v>56</v>
      </c>
      <c r="C28" s="275">
        <f t="shared" ref="C28:H28" si="14">C26*C27</f>
        <v>0.92899999999999994</v>
      </c>
      <c r="D28" s="275">
        <f t="shared" si="14"/>
        <v>0.88733333333333342</v>
      </c>
      <c r="E28" s="275">
        <f t="shared" si="14"/>
        <v>0.88733333333333342</v>
      </c>
      <c r="F28" s="275">
        <f t="shared" si="14"/>
        <v>1.054</v>
      </c>
      <c r="G28" s="275">
        <f t="shared" si="14"/>
        <v>0.92899999999999994</v>
      </c>
      <c r="H28" s="275">
        <f t="shared" si="14"/>
        <v>0.92899999999999994</v>
      </c>
      <c r="I28" s="253"/>
      <c r="J28" s="276">
        <f>J26*J27</f>
        <v>0.78047619047619043</v>
      </c>
      <c r="K28" s="276"/>
      <c r="L28" s="277"/>
      <c r="M28" s="275">
        <f>M26*M27</f>
        <v>0.49447619047619051</v>
      </c>
      <c r="N28" s="275">
        <f>N26*N27</f>
        <v>0.41114285714285714</v>
      </c>
      <c r="O28" s="278"/>
      <c r="P28" s="278">
        <f>P26*P27</f>
        <v>9.6432876190476176</v>
      </c>
      <c r="Q28" s="275">
        <f>Q26*Q27</f>
        <v>0.51828571428571424</v>
      </c>
      <c r="R28" s="275">
        <f>R26*R27</f>
        <v>0.56828571428571428</v>
      </c>
      <c r="S28" s="278"/>
      <c r="T28" s="237"/>
    </row>
    <row r="29" spans="1:20" ht="15.75" x14ac:dyDescent="0.2">
      <c r="A29" s="268" t="s">
        <v>57</v>
      </c>
      <c r="B29" s="251" t="s">
        <v>58</v>
      </c>
      <c r="C29" s="261">
        <f>C12/C30</f>
        <v>8.7028505955739455</v>
      </c>
      <c r="D29" s="261">
        <f t="shared" ref="D29:R29" si="15">D12/D30</f>
        <v>2.7795951371624268</v>
      </c>
      <c r="E29" s="261">
        <f t="shared" si="15"/>
        <v>4.6572455987133647</v>
      </c>
      <c r="F29" s="261">
        <f t="shared" si="15"/>
        <v>14.314125542426595</v>
      </c>
      <c r="G29" s="261">
        <f t="shared" si="15"/>
        <v>4.082607963006792</v>
      </c>
      <c r="H29" s="261">
        <f t="shared" si="15"/>
        <v>6.9488731161168786</v>
      </c>
      <c r="I29" s="253"/>
      <c r="J29" s="261" t="e">
        <f t="shared" si="15"/>
        <v>#REF!</v>
      </c>
      <c r="K29" s="261"/>
      <c r="L29" s="247" t="e">
        <f>SUM(J29:K29)</f>
        <v>#REF!</v>
      </c>
      <c r="M29" s="261">
        <f t="shared" si="15"/>
        <v>57.687700921583044</v>
      </c>
      <c r="N29" s="261">
        <f t="shared" si="15"/>
        <v>31.232871243161281</v>
      </c>
      <c r="O29" s="247">
        <f>SUM(M29:N29)</f>
        <v>88.920572164744328</v>
      </c>
      <c r="P29" s="247">
        <f t="shared" si="15"/>
        <v>32.632685869000007</v>
      </c>
      <c r="Q29" s="261">
        <f t="shared" si="15"/>
        <v>20.682428466248631</v>
      </c>
      <c r="R29" s="261">
        <f t="shared" si="15"/>
        <v>36.512361714144959</v>
      </c>
      <c r="S29" s="247">
        <f>SUM(Q29:R29)</f>
        <v>57.194790180393589</v>
      </c>
      <c r="T29" s="248" t="e">
        <f>I29+L29+O29+P29+S29</f>
        <v>#REF!</v>
      </c>
    </row>
    <row r="30" spans="1:20" ht="15.75" x14ac:dyDescent="0.25">
      <c r="A30" s="250" t="s">
        <v>59</v>
      </c>
      <c r="B30" s="251" t="s">
        <v>60</v>
      </c>
      <c r="C30" s="260">
        <v>10</v>
      </c>
      <c r="D30" s="260">
        <v>10</v>
      </c>
      <c r="E30" s="260">
        <v>10</v>
      </c>
      <c r="F30" s="260">
        <v>10</v>
      </c>
      <c r="G30" s="260">
        <v>10</v>
      </c>
      <c r="H30" s="260">
        <v>10</v>
      </c>
      <c r="I30" s="267"/>
      <c r="J30" s="261">
        <v>10</v>
      </c>
      <c r="K30" s="261"/>
      <c r="L30" s="247">
        <v>10</v>
      </c>
      <c r="M30" s="260">
        <v>10</v>
      </c>
      <c r="N30" s="260">
        <v>10</v>
      </c>
      <c r="O30" s="246">
        <v>10</v>
      </c>
      <c r="P30" s="246">
        <v>18</v>
      </c>
      <c r="Q30" s="260">
        <v>10</v>
      </c>
      <c r="R30" s="260">
        <v>10</v>
      </c>
      <c r="S30" s="246">
        <v>10</v>
      </c>
      <c r="T30" s="237">
        <v>10</v>
      </c>
    </row>
    <row r="31" spans="1:20" ht="15.75" x14ac:dyDescent="0.25">
      <c r="A31" s="239" t="s">
        <v>61</v>
      </c>
      <c r="B31" s="251" t="s">
        <v>40</v>
      </c>
      <c r="C31" s="279">
        <f t="shared" ref="C31:H31" si="16">4500/1.2</f>
        <v>3750</v>
      </c>
      <c r="D31" s="279">
        <f t="shared" si="16"/>
        <v>3750</v>
      </c>
      <c r="E31" s="279">
        <f t="shared" si="16"/>
        <v>3750</v>
      </c>
      <c r="F31" s="279">
        <f t="shared" si="16"/>
        <v>3750</v>
      </c>
      <c r="G31" s="279">
        <f t="shared" si="16"/>
        <v>3750</v>
      </c>
      <c r="H31" s="279">
        <f t="shared" si="16"/>
        <v>3750</v>
      </c>
      <c r="I31" s="280"/>
      <c r="J31" s="261">
        <f>[4]гуртовка!B15/1.2</f>
        <v>3903.75</v>
      </c>
      <c r="K31" s="261"/>
      <c r="L31" s="261">
        <f>J31</f>
        <v>3903.75</v>
      </c>
      <c r="M31" s="261">
        <v>4700</v>
      </c>
      <c r="N31" s="261">
        <v>4700</v>
      </c>
      <c r="O31" s="261">
        <v>4700</v>
      </c>
      <c r="P31" s="261">
        <v>4700</v>
      </c>
      <c r="Q31" s="261">
        <v>4700</v>
      </c>
      <c r="R31" s="261">
        <v>4700</v>
      </c>
      <c r="S31" s="261">
        <v>4700</v>
      </c>
      <c r="T31" s="261">
        <v>4700</v>
      </c>
    </row>
    <row r="32" spans="1:20" ht="15.75" x14ac:dyDescent="0.25">
      <c r="A32" s="245" t="s">
        <v>62</v>
      </c>
      <c r="B32" s="257" t="s">
        <v>43</v>
      </c>
      <c r="C32" s="246">
        <f t="shared" ref="C32:H32" si="17">C18*C31/1000</f>
        <v>30.318555762330728</v>
      </c>
      <c r="D32" s="246">
        <f t="shared" si="17"/>
        <v>9.2491028189079767</v>
      </c>
      <c r="E32" s="246">
        <f t="shared" si="17"/>
        <v>15.496984729718722</v>
      </c>
      <c r="F32" s="246">
        <f t="shared" si="17"/>
        <v>56.576581206441119</v>
      </c>
      <c r="G32" s="246">
        <f t="shared" si="17"/>
        <v>14.222785491124911</v>
      </c>
      <c r="H32" s="246">
        <f t="shared" si="17"/>
        <v>24.208136718272176</v>
      </c>
      <c r="I32" s="253">
        <f>SUM(C32:H32)</f>
        <v>150.07214672679564</v>
      </c>
      <c r="J32" s="247" t="e">
        <f>J18*J31/1000</f>
        <v>#REF!</v>
      </c>
      <c r="K32" s="247"/>
      <c r="L32" s="247" t="e">
        <f>SUM(J32:K32)</f>
        <v>#REF!</v>
      </c>
      <c r="M32" s="246">
        <f>M18*M31/1000</f>
        <v>134.06841456846078</v>
      </c>
      <c r="N32" s="246">
        <f>N18*N31/1000</f>
        <v>60.353508022535053</v>
      </c>
      <c r="O32" s="246">
        <f>SUM(M32:N32)</f>
        <v>194.42192259099585</v>
      </c>
      <c r="P32" s="246">
        <f>P18*P31/1000</f>
        <v>1479.0259653989503</v>
      </c>
      <c r="Q32" s="246">
        <f>Q18*Q31/1000</f>
        <v>50.381213890726443</v>
      </c>
      <c r="R32" s="246">
        <f>R18*R31/1000</f>
        <v>97.522431717811799</v>
      </c>
      <c r="S32" s="246">
        <f>SUM(Q32:R32)</f>
        <v>147.90364560853823</v>
      </c>
      <c r="T32" s="249" t="e">
        <f>I32+L32+O32+P32+S32</f>
        <v>#REF!</v>
      </c>
    </row>
    <row r="33" spans="1:20" ht="15.75" x14ac:dyDescent="0.25">
      <c r="A33" s="265" t="s">
        <v>74</v>
      </c>
      <c r="B33" s="257" t="s">
        <v>43</v>
      </c>
      <c r="C33" s="247">
        <f t="shared" ref="C33:H33" si="18">C32+C16</f>
        <v>88.096173690723205</v>
      </c>
      <c r="D33" s="247">
        <f t="shared" si="18"/>
        <v>27.702641009287206</v>
      </c>
      <c r="E33" s="247">
        <f t="shared" si="18"/>
        <v>46.416113335465212</v>
      </c>
      <c r="F33" s="247">
        <f t="shared" si="18"/>
        <v>151.60706202268972</v>
      </c>
      <c r="G33" s="247">
        <f t="shared" si="18"/>
        <v>41.326934924413308</v>
      </c>
      <c r="H33" s="247">
        <f t="shared" si="18"/>
        <v>70.341220531071002</v>
      </c>
      <c r="I33" s="253">
        <f>SUM(C33:H33)</f>
        <v>425.49014551364962</v>
      </c>
      <c r="J33" s="247" t="e">
        <f>J32+J16</f>
        <v>#REF!</v>
      </c>
      <c r="K33" s="247"/>
      <c r="L33" s="247"/>
      <c r="M33" s="246"/>
      <c r="N33" s="246"/>
      <c r="O33" s="246"/>
      <c r="P33" s="246"/>
      <c r="Q33" s="246"/>
      <c r="R33" s="246"/>
      <c r="S33" s="246"/>
      <c r="T33" s="249"/>
    </row>
    <row r="34" spans="1:20" ht="15.75" x14ac:dyDescent="0.2">
      <c r="A34" s="581" t="s">
        <v>64</v>
      </c>
      <c r="B34" s="582"/>
      <c r="C34" s="582"/>
      <c r="D34" s="582"/>
      <c r="E34" s="582"/>
      <c r="F34" s="582"/>
      <c r="G34" s="582"/>
      <c r="H34" s="582"/>
      <c r="I34" s="582"/>
      <c r="J34" s="582"/>
      <c r="K34" s="582"/>
      <c r="L34" s="582"/>
      <c r="M34" s="582"/>
      <c r="N34" s="582"/>
      <c r="O34" s="582"/>
      <c r="P34" s="582"/>
      <c r="Q34" s="582"/>
      <c r="R34" s="582"/>
      <c r="S34" s="582"/>
      <c r="T34" s="582"/>
    </row>
    <row r="35" spans="1:20" ht="15.75" x14ac:dyDescent="0.25">
      <c r="A35" s="268" t="s">
        <v>75</v>
      </c>
      <c r="B35" s="281" t="s">
        <v>33</v>
      </c>
      <c r="C35" s="251">
        <v>2.1999999999999999E-2</v>
      </c>
      <c r="D35" s="251">
        <v>2.1999999999999999E-2</v>
      </c>
      <c r="E35" s="251">
        <v>2.1999999999999999E-2</v>
      </c>
      <c r="F35" s="251">
        <v>2.1999999999999999E-2</v>
      </c>
      <c r="G35" s="251">
        <v>2.1999999999999999E-2</v>
      </c>
      <c r="H35" s="251">
        <v>2.1999999999999999E-2</v>
      </c>
      <c r="I35" s="253"/>
      <c r="J35" s="251">
        <f>[4]гуртовка!B12</f>
        <v>1910</v>
      </c>
      <c r="K35" s="259"/>
      <c r="L35" s="237"/>
      <c r="M35" s="246"/>
      <c r="N35" s="246"/>
      <c r="O35" s="246"/>
      <c r="P35" s="246"/>
      <c r="Q35" s="246"/>
      <c r="R35" s="246"/>
      <c r="S35" s="246"/>
      <c r="T35" s="249"/>
    </row>
    <row r="36" spans="1:20" ht="42" customHeight="1" x14ac:dyDescent="0.25">
      <c r="A36" s="265" t="s">
        <v>66</v>
      </c>
      <c r="B36" s="282" t="s">
        <v>67</v>
      </c>
      <c r="C36" s="247">
        <f t="shared" ref="C36:H36" si="19">C4*C35</f>
        <v>0</v>
      </c>
      <c r="D36" s="247">
        <f t="shared" si="19"/>
        <v>0</v>
      </c>
      <c r="E36" s="247">
        <f t="shared" si="19"/>
        <v>0</v>
      </c>
      <c r="F36" s="247">
        <f t="shared" si="19"/>
        <v>0</v>
      </c>
      <c r="G36" s="247">
        <f t="shared" si="19"/>
        <v>0</v>
      </c>
      <c r="H36" s="247">
        <f t="shared" si="19"/>
        <v>0</v>
      </c>
      <c r="I36" s="253">
        <f>SUM(C36:H36)</f>
        <v>0</v>
      </c>
      <c r="J36" s="247">
        <f>[4]гуртовка!E5/1.2+[4]гуртовка!H5/1.2</f>
        <v>434.61750000000001</v>
      </c>
      <c r="K36" s="246"/>
      <c r="L36" s="246"/>
      <c r="M36" s="246"/>
      <c r="N36" s="246"/>
      <c r="O36" s="246"/>
      <c r="P36" s="246"/>
      <c r="Q36" s="246"/>
      <c r="R36" s="246"/>
      <c r="S36" s="246"/>
      <c r="T36" s="249"/>
    </row>
    <row r="37" spans="1:20" ht="15.75" x14ac:dyDescent="0.25">
      <c r="A37" s="245" t="s">
        <v>62</v>
      </c>
      <c r="B37" s="282" t="s">
        <v>43</v>
      </c>
      <c r="C37" s="247" t="e">
        <f>C36*#REF!/1000</f>
        <v>#REF!</v>
      </c>
      <c r="D37" s="247" t="e">
        <f>D36*#REF!/1000</f>
        <v>#REF!</v>
      </c>
      <c r="E37" s="247" t="e">
        <f>E36*#REF!/1000</f>
        <v>#REF!</v>
      </c>
      <c r="F37" s="247" t="e">
        <f>F36*#REF!/1000</f>
        <v>#REF!</v>
      </c>
      <c r="G37" s="247" t="e">
        <f>G36*#REF!/1000</f>
        <v>#REF!</v>
      </c>
      <c r="H37" s="247" t="e">
        <f>H36*#REF!/1000</f>
        <v>#REF!</v>
      </c>
      <c r="I37" s="253" t="e">
        <f>SUM(C37:H37)</f>
        <v>#REF!</v>
      </c>
      <c r="J37" s="247">
        <f>J35*J36/1000</f>
        <v>830.11942500000009</v>
      </c>
      <c r="K37" s="246"/>
      <c r="L37" s="246">
        <f>J37</f>
        <v>830.11942500000009</v>
      </c>
      <c r="M37" s="246"/>
      <c r="N37" s="246"/>
      <c r="O37" s="246"/>
      <c r="P37" s="246"/>
      <c r="Q37" s="246"/>
      <c r="R37" s="246"/>
      <c r="S37" s="246"/>
      <c r="T37" s="249"/>
    </row>
    <row r="38" spans="1:20" ht="15.75" x14ac:dyDescent="0.25">
      <c r="A38" s="580" t="s">
        <v>69</v>
      </c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580"/>
      <c r="S38" s="580"/>
      <c r="T38" s="580"/>
    </row>
    <row r="39" spans="1:20" ht="31.5" x14ac:dyDescent="0.25">
      <c r="A39" s="268" t="s">
        <v>70</v>
      </c>
      <c r="B39" s="281" t="s">
        <v>31</v>
      </c>
      <c r="C39" s="251">
        <v>2.1999999999999999E-2</v>
      </c>
      <c r="D39" s="251">
        <v>2.1999999999999999E-2</v>
      </c>
      <c r="E39" s="251">
        <v>2.1999999999999999E-2</v>
      </c>
      <c r="F39" s="251">
        <v>2.1999999999999999E-2</v>
      </c>
      <c r="G39" s="251">
        <v>2.1999999999999999E-2</v>
      </c>
      <c r="H39" s="251">
        <v>2.1999999999999999E-2</v>
      </c>
      <c r="I39" s="253"/>
      <c r="J39" s="259">
        <v>2.1999999999999999E-2</v>
      </c>
      <c r="K39" s="259"/>
      <c r="L39" s="237">
        <v>2.1999999999999999E-2</v>
      </c>
      <c r="M39" s="251">
        <v>2.1999999999999999E-2</v>
      </c>
      <c r="N39" s="251">
        <v>2.1999999999999999E-2</v>
      </c>
      <c r="O39" s="257">
        <v>2.1999999999999999E-2</v>
      </c>
      <c r="P39" s="257">
        <v>2.1999999999999999E-2</v>
      </c>
      <c r="Q39" s="251">
        <v>2.1999999999999999E-2</v>
      </c>
      <c r="R39" s="251">
        <v>2.1999999999999999E-2</v>
      </c>
      <c r="S39" s="257">
        <v>2.1999999999999999E-2</v>
      </c>
      <c r="T39" s="257">
        <f>S39</f>
        <v>2.1999999999999999E-2</v>
      </c>
    </row>
    <row r="40" spans="1:20" ht="15.75" x14ac:dyDescent="0.25">
      <c r="A40" s="245" t="s">
        <v>54</v>
      </c>
      <c r="B40" s="238" t="s">
        <v>51</v>
      </c>
      <c r="C40" s="246">
        <f t="shared" ref="C40:H40" si="20">C9*C39</f>
        <v>14.842070783149362</v>
      </c>
      <c r="D40" s="246">
        <f t="shared" si="20"/>
        <v>4.7403948075638276</v>
      </c>
      <c r="E40" s="246">
        <f t="shared" si="20"/>
        <v>7.9425893931545737</v>
      </c>
      <c r="F40" s="246">
        <f t="shared" si="20"/>
        <v>24.411686971580238</v>
      </c>
      <c r="G40" s="246">
        <f t="shared" si="20"/>
        <v>6.9625872237325135</v>
      </c>
      <c r="H40" s="246">
        <f t="shared" si="20"/>
        <v>11.850791360819484</v>
      </c>
      <c r="I40" s="253">
        <f>SUM(C40:H40)</f>
        <v>70.750120539999998</v>
      </c>
      <c r="J40" s="246" t="e">
        <f>J9*J39</f>
        <v>#REF!</v>
      </c>
      <c r="K40" s="246"/>
      <c r="L40" s="246" t="e">
        <f>SUM(J40:K40)</f>
        <v>#REF!</v>
      </c>
      <c r="M40" s="246">
        <f>M9*M39</f>
        <v>70.507190015268165</v>
      </c>
      <c r="N40" s="246">
        <f>N9*N39</f>
        <v>38.173509297197121</v>
      </c>
      <c r="O40" s="246">
        <f>SUM(M40:N40)</f>
        <v>108.68069931246529</v>
      </c>
      <c r="P40" s="246">
        <f>P9*P39</f>
        <v>71.791908911799993</v>
      </c>
      <c r="Q40" s="246">
        <f>Q9*Q39</f>
        <v>25.278523680970547</v>
      </c>
      <c r="R40" s="246">
        <f>R9*R39</f>
        <v>44.626219872843834</v>
      </c>
      <c r="S40" s="246">
        <f>SUM(Q40:R40)</f>
        <v>69.904743553814384</v>
      </c>
      <c r="T40" s="249" t="e">
        <f>I40+L40+O40+P40+S40</f>
        <v>#REF!</v>
      </c>
    </row>
    <row r="41" spans="1:20" ht="15.75" x14ac:dyDescent="0.25">
      <c r="A41" s="268" t="s">
        <v>61</v>
      </c>
      <c r="B41" s="281" t="s">
        <v>40</v>
      </c>
      <c r="C41" s="279">
        <f t="shared" ref="C41:H41" si="21">5500/1.2</f>
        <v>4583.3333333333339</v>
      </c>
      <c r="D41" s="279">
        <f t="shared" si="21"/>
        <v>4583.3333333333339</v>
      </c>
      <c r="E41" s="279">
        <f t="shared" si="21"/>
        <v>4583.3333333333339</v>
      </c>
      <c r="F41" s="279">
        <f t="shared" si="21"/>
        <v>4583.3333333333339</v>
      </c>
      <c r="G41" s="279">
        <f t="shared" si="21"/>
        <v>4583.3333333333339</v>
      </c>
      <c r="H41" s="279">
        <f t="shared" si="21"/>
        <v>4583.3333333333339</v>
      </c>
      <c r="I41" s="261"/>
      <c r="J41" s="260">
        <f>[4]гуртовка!B14/1.2</f>
        <v>4771.25</v>
      </c>
      <c r="K41" s="260"/>
      <c r="L41" s="260">
        <f>J41</f>
        <v>4771.25</v>
      </c>
      <c r="M41" s="261">
        <v>5400</v>
      </c>
      <c r="N41" s="261">
        <v>5400</v>
      </c>
      <c r="O41" s="261">
        <v>5400</v>
      </c>
      <c r="P41" s="261">
        <v>5400</v>
      </c>
      <c r="Q41" s="261">
        <v>5400</v>
      </c>
      <c r="R41" s="261">
        <v>5400</v>
      </c>
      <c r="S41" s="261">
        <v>5400</v>
      </c>
      <c r="T41" s="261">
        <v>5400</v>
      </c>
    </row>
    <row r="42" spans="1:20" ht="15.75" x14ac:dyDescent="0.25">
      <c r="A42" s="245" t="s">
        <v>62</v>
      </c>
      <c r="B42" s="238" t="s">
        <v>43</v>
      </c>
      <c r="C42" s="246">
        <f t="shared" ref="C42:H42" si="22">C40*C41/1000</f>
        <v>68.026157756101256</v>
      </c>
      <c r="D42" s="246">
        <f t="shared" si="22"/>
        <v>21.726809534667549</v>
      </c>
      <c r="E42" s="246">
        <f t="shared" si="22"/>
        <v>36.403534718625131</v>
      </c>
      <c r="F42" s="246">
        <f t="shared" si="22"/>
        <v>111.88689861974277</v>
      </c>
      <c r="G42" s="246">
        <f t="shared" si="22"/>
        <v>31.911858108774023</v>
      </c>
      <c r="H42" s="246">
        <f t="shared" si="22"/>
        <v>54.316127070422638</v>
      </c>
      <c r="I42" s="253">
        <f>SUM(C42:H42)</f>
        <v>324.27138580833332</v>
      </c>
      <c r="J42" s="246" t="e">
        <f>J40*J41/1000</f>
        <v>#REF!</v>
      </c>
      <c r="K42" s="246"/>
      <c r="L42" s="246" t="e">
        <f>SUM(J42:K42)</f>
        <v>#REF!</v>
      </c>
      <c r="M42" s="246">
        <f>M40*M41/1000</f>
        <v>380.73882608244804</v>
      </c>
      <c r="N42" s="246">
        <f>N40*N41/1000</f>
        <v>206.13695020486446</v>
      </c>
      <c r="O42" s="246">
        <f>SUM(M42:N42)</f>
        <v>586.87577628731253</v>
      </c>
      <c r="P42" s="246">
        <f>P40*P41/1000</f>
        <v>387.67630812371993</v>
      </c>
      <c r="Q42" s="246">
        <f>Q40*Q41/1000</f>
        <v>136.50402787724096</v>
      </c>
      <c r="R42" s="246">
        <f>R40*R41/1000</f>
        <v>240.9815873133567</v>
      </c>
      <c r="S42" s="246">
        <f>SUM(Q42:R42)</f>
        <v>377.48561519059763</v>
      </c>
      <c r="T42" s="249" t="e">
        <f>I42+L42+O42+P42+S42</f>
        <v>#REF!</v>
      </c>
    </row>
    <row r="43" spans="1:20" ht="15.75" x14ac:dyDescent="0.25">
      <c r="A43" s="245" t="s">
        <v>76</v>
      </c>
      <c r="B43" s="238" t="s">
        <v>77</v>
      </c>
      <c r="C43" s="246" t="e">
        <f>C33+#REF!</f>
        <v>#REF!</v>
      </c>
      <c r="D43" s="246" t="e">
        <f>D33+#REF!</f>
        <v>#REF!</v>
      </c>
      <c r="E43" s="246" t="e">
        <f>E33+#REF!</f>
        <v>#REF!</v>
      </c>
      <c r="F43" s="246" t="e">
        <f>F33+#REF!</f>
        <v>#REF!</v>
      </c>
      <c r="G43" s="246" t="e">
        <f>G33+#REF!</f>
        <v>#REF!</v>
      </c>
      <c r="H43" s="246" t="e">
        <f>H33+#REF!</f>
        <v>#REF!</v>
      </c>
      <c r="I43" s="255" t="e">
        <f>SUM(C43:H43)</f>
        <v>#REF!</v>
      </c>
      <c r="J43" s="247" t="e">
        <f>J16+J32+J42+J37</f>
        <v>#REF!</v>
      </c>
      <c r="K43" s="247">
        <f>K16+K32+K42</f>
        <v>0</v>
      </c>
      <c r="L43" s="247" t="e">
        <f>L16+L32+L42+L37</f>
        <v>#REF!</v>
      </c>
      <c r="M43" s="246" t="e">
        <f>M16+M32+#REF!</f>
        <v>#REF!</v>
      </c>
      <c r="N43" s="246" t="e">
        <f>N16+N32+#REF!</f>
        <v>#REF!</v>
      </c>
      <c r="O43" s="246" t="e">
        <f>O16+O32+#REF!</f>
        <v>#REF!</v>
      </c>
      <c r="P43" s="246" t="e">
        <f>P16+P32+#REF!</f>
        <v>#REF!</v>
      </c>
      <c r="Q43" s="246" t="e">
        <f>Q16+Q32+#REF!</f>
        <v>#REF!</v>
      </c>
      <c r="R43" s="246" t="e">
        <f>R16+R32+#REF!</f>
        <v>#REF!</v>
      </c>
      <c r="S43" s="246" t="e">
        <f>S16+S32+#REF!</f>
        <v>#REF!</v>
      </c>
      <c r="T43" s="246" t="e">
        <f>T16+T32+#REF!</f>
        <v>#REF!</v>
      </c>
    </row>
  </sheetData>
  <customSheetViews>
    <customSheetView guid="{4F83E3D9-05C9-45DD-BE29-5010E4EF885C}" scale="60" showPageBreaks="1" printArea="1" hiddenRows="1" hiddenColumns="1" state="hidden" view="pageBreakPreview">
      <selection activeCell="C9" sqref="C9"/>
      <pageMargins left="1.299212598425197" right="0.70866141732283472" top="0.74803149606299213" bottom="0.74803149606299213" header="0.31496062992125984" footer="0.31496062992125984"/>
      <pageSetup paperSize="9" scale="95" orientation="portrait" r:id="rId1"/>
    </customSheetView>
    <customSheetView guid="{E3DB1A70-74DD-44C5-A9A7-0FA1388C0D1F}" scale="60" showPageBreaks="1" printArea="1" hiddenRows="1" hiddenColumns="1" state="hidden" view="pageBreakPreview">
      <selection activeCell="C9" sqref="C9"/>
      <pageMargins left="1.299212598425197" right="0.70866141732283472" top="0.74803149606299213" bottom="0.74803149606299213" header="0.31496062992125984" footer="0.31496062992125984"/>
      <pageSetup paperSize="9" scale="95" orientation="portrait" r:id="rId2"/>
    </customSheetView>
  </customSheetViews>
  <mergeCells count="9">
    <mergeCell ref="A17:T17"/>
    <mergeCell ref="A34:T34"/>
    <mergeCell ref="A38:T38"/>
    <mergeCell ref="A1:T1"/>
    <mergeCell ref="B4:I4"/>
    <mergeCell ref="J4:L4"/>
    <mergeCell ref="M4:O4"/>
    <mergeCell ref="Q4:S4"/>
    <mergeCell ref="A6:I6"/>
  </mergeCells>
  <pageMargins left="1.299212598425197" right="0.70866141732283472" top="0.74803149606299213" bottom="0.74803149606299213" header="0.31496062992125984" footer="0.31496062992125984"/>
  <pageSetup paperSize="9" scale="95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WB43"/>
  <sheetViews>
    <sheetView view="pageBreakPreview" zoomScale="60" zoomScaleNormal="100" workbookViewId="0">
      <selection activeCell="C9" sqref="C9"/>
    </sheetView>
  </sheetViews>
  <sheetFormatPr defaultRowHeight="12.75" x14ac:dyDescent="0.2"/>
  <cols>
    <col min="1" max="1" width="28.7109375" style="230" customWidth="1"/>
    <col min="2" max="2" width="12.140625" style="230" customWidth="1"/>
    <col min="3" max="8" width="8.85546875" style="230" hidden="1" customWidth="1"/>
    <col min="9" max="9" width="10.42578125" style="230" hidden="1" customWidth="1"/>
    <col min="10" max="10" width="11.28515625" style="230" customWidth="1"/>
    <col min="11" max="11" width="8.85546875" style="230" hidden="1" customWidth="1"/>
    <col min="12" max="12" width="12.28515625" style="230" customWidth="1"/>
    <col min="13" max="19" width="8.85546875" style="230" hidden="1" customWidth="1"/>
    <col min="20" max="20" width="11.28515625" style="230" hidden="1" customWidth="1"/>
    <col min="21" max="256" width="9.140625" style="230"/>
    <col min="257" max="257" width="28.7109375" style="230" customWidth="1"/>
    <col min="258" max="258" width="12.140625" style="230" customWidth="1"/>
    <col min="259" max="265" width="9.140625" style="230" hidden="1" customWidth="1"/>
    <col min="266" max="266" width="11.28515625" style="230" customWidth="1"/>
    <col min="267" max="267" width="9.140625" style="230" hidden="1" customWidth="1"/>
    <col min="268" max="268" width="12.28515625" style="230" customWidth="1"/>
    <col min="269" max="276" width="9.140625" style="230" hidden="1" customWidth="1"/>
    <col min="277" max="512" width="9.140625" style="230"/>
    <col min="513" max="513" width="28.7109375" style="230" customWidth="1"/>
    <col min="514" max="514" width="12.140625" style="230" customWidth="1"/>
    <col min="515" max="521" width="9.140625" style="230" hidden="1" customWidth="1"/>
    <col min="522" max="522" width="11.28515625" style="230" customWidth="1"/>
    <col min="523" max="523" width="9.140625" style="230" hidden="1" customWidth="1"/>
    <col min="524" max="524" width="12.28515625" style="230" customWidth="1"/>
    <col min="525" max="532" width="9.140625" style="230" hidden="1" customWidth="1"/>
    <col min="533" max="768" width="9.140625" style="230"/>
    <col min="769" max="769" width="28.7109375" style="230" customWidth="1"/>
    <col min="770" max="770" width="12.140625" style="230" customWidth="1"/>
    <col min="771" max="777" width="9.140625" style="230" hidden="1" customWidth="1"/>
    <col min="778" max="778" width="11.28515625" style="230" customWidth="1"/>
    <col min="779" max="779" width="9.140625" style="230" hidden="1" customWidth="1"/>
    <col min="780" max="780" width="12.28515625" style="230" customWidth="1"/>
    <col min="781" max="788" width="9.140625" style="230" hidden="1" customWidth="1"/>
    <col min="789" max="1024" width="9.140625" style="230"/>
    <col min="1025" max="1025" width="28.7109375" style="230" customWidth="1"/>
    <col min="1026" max="1026" width="12.140625" style="230" customWidth="1"/>
    <col min="1027" max="1033" width="9.140625" style="230" hidden="1" customWidth="1"/>
    <col min="1034" max="1034" width="11.28515625" style="230" customWidth="1"/>
    <col min="1035" max="1035" width="9.140625" style="230" hidden="1" customWidth="1"/>
    <col min="1036" max="1036" width="12.28515625" style="230" customWidth="1"/>
    <col min="1037" max="1044" width="9.140625" style="230" hidden="1" customWidth="1"/>
    <col min="1045" max="1280" width="9.140625" style="230"/>
    <col min="1281" max="1281" width="28.7109375" style="230" customWidth="1"/>
    <col min="1282" max="1282" width="12.140625" style="230" customWidth="1"/>
    <col min="1283" max="1289" width="9.140625" style="230" hidden="1" customWidth="1"/>
    <col min="1290" max="1290" width="11.28515625" style="230" customWidth="1"/>
    <col min="1291" max="1291" width="9.140625" style="230" hidden="1" customWidth="1"/>
    <col min="1292" max="1292" width="12.28515625" style="230" customWidth="1"/>
    <col min="1293" max="1300" width="9.140625" style="230" hidden="1" customWidth="1"/>
    <col min="1301" max="1536" width="9.140625" style="230"/>
    <col min="1537" max="1537" width="28.7109375" style="230" customWidth="1"/>
    <col min="1538" max="1538" width="12.140625" style="230" customWidth="1"/>
    <col min="1539" max="1545" width="9.140625" style="230" hidden="1" customWidth="1"/>
    <col min="1546" max="1546" width="11.28515625" style="230" customWidth="1"/>
    <col min="1547" max="1547" width="9.140625" style="230" hidden="1" customWidth="1"/>
    <col min="1548" max="1548" width="12.28515625" style="230" customWidth="1"/>
    <col min="1549" max="1556" width="9.140625" style="230" hidden="1" customWidth="1"/>
    <col min="1557" max="1792" width="9.140625" style="230"/>
    <col min="1793" max="1793" width="28.7109375" style="230" customWidth="1"/>
    <col min="1794" max="1794" width="12.140625" style="230" customWidth="1"/>
    <col min="1795" max="1801" width="9.140625" style="230" hidden="1" customWidth="1"/>
    <col min="1802" max="1802" width="11.28515625" style="230" customWidth="1"/>
    <col min="1803" max="1803" width="9.140625" style="230" hidden="1" customWidth="1"/>
    <col min="1804" max="1804" width="12.28515625" style="230" customWidth="1"/>
    <col min="1805" max="1812" width="9.140625" style="230" hidden="1" customWidth="1"/>
    <col min="1813" max="2048" width="9.140625" style="230"/>
    <col min="2049" max="2049" width="28.7109375" style="230" customWidth="1"/>
    <col min="2050" max="2050" width="12.140625" style="230" customWidth="1"/>
    <col min="2051" max="2057" width="9.140625" style="230" hidden="1" customWidth="1"/>
    <col min="2058" max="2058" width="11.28515625" style="230" customWidth="1"/>
    <col min="2059" max="2059" width="9.140625" style="230" hidden="1" customWidth="1"/>
    <col min="2060" max="2060" width="12.28515625" style="230" customWidth="1"/>
    <col min="2061" max="2068" width="9.140625" style="230" hidden="1" customWidth="1"/>
    <col min="2069" max="2304" width="9.140625" style="230"/>
    <col min="2305" max="2305" width="28.7109375" style="230" customWidth="1"/>
    <col min="2306" max="2306" width="12.140625" style="230" customWidth="1"/>
    <col min="2307" max="2313" width="9.140625" style="230" hidden="1" customWidth="1"/>
    <col min="2314" max="2314" width="11.28515625" style="230" customWidth="1"/>
    <col min="2315" max="2315" width="9.140625" style="230" hidden="1" customWidth="1"/>
    <col min="2316" max="2316" width="12.28515625" style="230" customWidth="1"/>
    <col min="2317" max="2324" width="9.140625" style="230" hidden="1" customWidth="1"/>
    <col min="2325" max="2560" width="9.140625" style="230"/>
    <col min="2561" max="2561" width="28.7109375" style="230" customWidth="1"/>
    <col min="2562" max="2562" width="12.140625" style="230" customWidth="1"/>
    <col min="2563" max="2569" width="9.140625" style="230" hidden="1" customWidth="1"/>
    <col min="2570" max="2570" width="11.28515625" style="230" customWidth="1"/>
    <col min="2571" max="2571" width="9.140625" style="230" hidden="1" customWidth="1"/>
    <col min="2572" max="2572" width="12.28515625" style="230" customWidth="1"/>
    <col min="2573" max="2580" width="9.140625" style="230" hidden="1" customWidth="1"/>
    <col min="2581" max="2816" width="9.140625" style="230"/>
    <col min="2817" max="2817" width="28.7109375" style="230" customWidth="1"/>
    <col min="2818" max="2818" width="12.140625" style="230" customWidth="1"/>
    <col min="2819" max="2825" width="9.140625" style="230" hidden="1" customWidth="1"/>
    <col min="2826" max="2826" width="11.28515625" style="230" customWidth="1"/>
    <col min="2827" max="2827" width="9.140625" style="230" hidden="1" customWidth="1"/>
    <col min="2828" max="2828" width="12.28515625" style="230" customWidth="1"/>
    <col min="2829" max="2836" width="9.140625" style="230" hidden="1" customWidth="1"/>
    <col min="2837" max="3072" width="9.140625" style="230"/>
    <col min="3073" max="3073" width="28.7109375" style="230" customWidth="1"/>
    <col min="3074" max="3074" width="12.140625" style="230" customWidth="1"/>
    <col min="3075" max="3081" width="9.140625" style="230" hidden="1" customWidth="1"/>
    <col min="3082" max="3082" width="11.28515625" style="230" customWidth="1"/>
    <col min="3083" max="3083" width="9.140625" style="230" hidden="1" customWidth="1"/>
    <col min="3084" max="3084" width="12.28515625" style="230" customWidth="1"/>
    <col min="3085" max="3092" width="9.140625" style="230" hidden="1" customWidth="1"/>
    <col min="3093" max="3328" width="9.140625" style="230"/>
    <col min="3329" max="3329" width="28.7109375" style="230" customWidth="1"/>
    <col min="3330" max="3330" width="12.140625" style="230" customWidth="1"/>
    <col min="3331" max="3337" width="9.140625" style="230" hidden="1" customWidth="1"/>
    <col min="3338" max="3338" width="11.28515625" style="230" customWidth="1"/>
    <col min="3339" max="3339" width="9.140625" style="230" hidden="1" customWidth="1"/>
    <col min="3340" max="3340" width="12.28515625" style="230" customWidth="1"/>
    <col min="3341" max="3348" width="9.140625" style="230" hidden="1" customWidth="1"/>
    <col min="3349" max="3584" width="9.140625" style="230"/>
    <col min="3585" max="3585" width="28.7109375" style="230" customWidth="1"/>
    <col min="3586" max="3586" width="12.140625" style="230" customWidth="1"/>
    <col min="3587" max="3593" width="9.140625" style="230" hidden="1" customWidth="1"/>
    <col min="3594" max="3594" width="11.28515625" style="230" customWidth="1"/>
    <col min="3595" max="3595" width="9.140625" style="230" hidden="1" customWidth="1"/>
    <col min="3596" max="3596" width="12.28515625" style="230" customWidth="1"/>
    <col min="3597" max="3604" width="9.140625" style="230" hidden="1" customWidth="1"/>
    <col min="3605" max="3840" width="9.140625" style="230"/>
    <col min="3841" max="3841" width="28.7109375" style="230" customWidth="1"/>
    <col min="3842" max="3842" width="12.140625" style="230" customWidth="1"/>
    <col min="3843" max="3849" width="9.140625" style="230" hidden="1" customWidth="1"/>
    <col min="3850" max="3850" width="11.28515625" style="230" customWidth="1"/>
    <col min="3851" max="3851" width="9.140625" style="230" hidden="1" customWidth="1"/>
    <col min="3852" max="3852" width="12.28515625" style="230" customWidth="1"/>
    <col min="3853" max="3860" width="9.140625" style="230" hidden="1" customWidth="1"/>
    <col min="3861" max="4096" width="9.140625" style="230"/>
    <col min="4097" max="4097" width="28.7109375" style="230" customWidth="1"/>
    <col min="4098" max="4098" width="12.140625" style="230" customWidth="1"/>
    <col min="4099" max="4105" width="9.140625" style="230" hidden="1" customWidth="1"/>
    <col min="4106" max="4106" width="11.28515625" style="230" customWidth="1"/>
    <col min="4107" max="4107" width="9.140625" style="230" hidden="1" customWidth="1"/>
    <col min="4108" max="4108" width="12.28515625" style="230" customWidth="1"/>
    <col min="4109" max="4116" width="9.140625" style="230" hidden="1" customWidth="1"/>
    <col min="4117" max="4352" width="9.140625" style="230"/>
    <col min="4353" max="4353" width="28.7109375" style="230" customWidth="1"/>
    <col min="4354" max="4354" width="12.140625" style="230" customWidth="1"/>
    <col min="4355" max="4361" width="9.140625" style="230" hidden="1" customWidth="1"/>
    <col min="4362" max="4362" width="11.28515625" style="230" customWidth="1"/>
    <col min="4363" max="4363" width="9.140625" style="230" hidden="1" customWidth="1"/>
    <col min="4364" max="4364" width="12.28515625" style="230" customWidth="1"/>
    <col min="4365" max="4372" width="9.140625" style="230" hidden="1" customWidth="1"/>
    <col min="4373" max="4608" width="9.140625" style="230"/>
    <col min="4609" max="4609" width="28.7109375" style="230" customWidth="1"/>
    <col min="4610" max="4610" width="12.140625" style="230" customWidth="1"/>
    <col min="4611" max="4617" width="9.140625" style="230" hidden="1" customWidth="1"/>
    <col min="4618" max="4618" width="11.28515625" style="230" customWidth="1"/>
    <col min="4619" max="4619" width="9.140625" style="230" hidden="1" customWidth="1"/>
    <col min="4620" max="4620" width="12.28515625" style="230" customWidth="1"/>
    <col min="4621" max="4628" width="9.140625" style="230" hidden="1" customWidth="1"/>
    <col min="4629" max="4864" width="9.140625" style="230"/>
    <col min="4865" max="4865" width="28.7109375" style="230" customWidth="1"/>
    <col min="4866" max="4866" width="12.140625" style="230" customWidth="1"/>
    <col min="4867" max="4873" width="9.140625" style="230" hidden="1" customWidth="1"/>
    <col min="4874" max="4874" width="11.28515625" style="230" customWidth="1"/>
    <col min="4875" max="4875" width="9.140625" style="230" hidden="1" customWidth="1"/>
    <col min="4876" max="4876" width="12.28515625" style="230" customWidth="1"/>
    <col min="4877" max="4884" width="9.140625" style="230" hidden="1" customWidth="1"/>
    <col min="4885" max="5120" width="9.140625" style="230"/>
    <col min="5121" max="5121" width="28.7109375" style="230" customWidth="1"/>
    <col min="5122" max="5122" width="12.140625" style="230" customWidth="1"/>
    <col min="5123" max="5129" width="9.140625" style="230" hidden="1" customWidth="1"/>
    <col min="5130" max="5130" width="11.28515625" style="230" customWidth="1"/>
    <col min="5131" max="5131" width="9.140625" style="230" hidden="1" customWidth="1"/>
    <col min="5132" max="5132" width="12.28515625" style="230" customWidth="1"/>
    <col min="5133" max="5140" width="9.140625" style="230" hidden="1" customWidth="1"/>
    <col min="5141" max="5376" width="9.140625" style="230"/>
    <col min="5377" max="5377" width="28.7109375" style="230" customWidth="1"/>
    <col min="5378" max="5378" width="12.140625" style="230" customWidth="1"/>
    <col min="5379" max="5385" width="9.140625" style="230" hidden="1" customWidth="1"/>
    <col min="5386" max="5386" width="11.28515625" style="230" customWidth="1"/>
    <col min="5387" max="5387" width="9.140625" style="230" hidden="1" customWidth="1"/>
    <col min="5388" max="5388" width="12.28515625" style="230" customWidth="1"/>
    <col min="5389" max="5396" width="9.140625" style="230" hidden="1" customWidth="1"/>
    <col min="5397" max="5632" width="9.140625" style="230"/>
    <col min="5633" max="5633" width="28.7109375" style="230" customWidth="1"/>
    <col min="5634" max="5634" width="12.140625" style="230" customWidth="1"/>
    <col min="5635" max="5641" width="9.140625" style="230" hidden="1" customWidth="1"/>
    <col min="5642" max="5642" width="11.28515625" style="230" customWidth="1"/>
    <col min="5643" max="5643" width="9.140625" style="230" hidden="1" customWidth="1"/>
    <col min="5644" max="5644" width="12.28515625" style="230" customWidth="1"/>
    <col min="5645" max="5652" width="9.140625" style="230" hidden="1" customWidth="1"/>
    <col min="5653" max="5888" width="9.140625" style="230"/>
    <col min="5889" max="5889" width="28.7109375" style="230" customWidth="1"/>
    <col min="5890" max="5890" width="12.140625" style="230" customWidth="1"/>
    <col min="5891" max="5897" width="9.140625" style="230" hidden="1" customWidth="1"/>
    <col min="5898" max="5898" width="11.28515625" style="230" customWidth="1"/>
    <col min="5899" max="5899" width="9.140625" style="230" hidden="1" customWidth="1"/>
    <col min="5900" max="5900" width="12.28515625" style="230" customWidth="1"/>
    <col min="5901" max="5908" width="9.140625" style="230" hidden="1" customWidth="1"/>
    <col min="5909" max="6144" width="9.140625" style="230"/>
    <col min="6145" max="6145" width="28.7109375" style="230" customWidth="1"/>
    <col min="6146" max="6146" width="12.140625" style="230" customWidth="1"/>
    <col min="6147" max="6153" width="9.140625" style="230" hidden="1" customWidth="1"/>
    <col min="6154" max="6154" width="11.28515625" style="230" customWidth="1"/>
    <col min="6155" max="6155" width="9.140625" style="230" hidden="1" customWidth="1"/>
    <col min="6156" max="6156" width="12.28515625" style="230" customWidth="1"/>
    <col min="6157" max="6164" width="9.140625" style="230" hidden="1" customWidth="1"/>
    <col min="6165" max="6400" width="9.140625" style="230"/>
    <col min="6401" max="6401" width="28.7109375" style="230" customWidth="1"/>
    <col min="6402" max="6402" width="12.140625" style="230" customWidth="1"/>
    <col min="6403" max="6409" width="9.140625" style="230" hidden="1" customWidth="1"/>
    <col min="6410" max="6410" width="11.28515625" style="230" customWidth="1"/>
    <col min="6411" max="6411" width="9.140625" style="230" hidden="1" customWidth="1"/>
    <col min="6412" max="6412" width="12.28515625" style="230" customWidth="1"/>
    <col min="6413" max="6420" width="9.140625" style="230" hidden="1" customWidth="1"/>
    <col min="6421" max="6656" width="9.140625" style="230"/>
    <col min="6657" max="6657" width="28.7109375" style="230" customWidth="1"/>
    <col min="6658" max="6658" width="12.140625" style="230" customWidth="1"/>
    <col min="6659" max="6665" width="9.140625" style="230" hidden="1" customWidth="1"/>
    <col min="6666" max="6666" width="11.28515625" style="230" customWidth="1"/>
    <col min="6667" max="6667" width="9.140625" style="230" hidden="1" customWidth="1"/>
    <col min="6668" max="6668" width="12.28515625" style="230" customWidth="1"/>
    <col min="6669" max="6676" width="9.140625" style="230" hidden="1" customWidth="1"/>
    <col min="6677" max="6912" width="9.140625" style="230"/>
    <col min="6913" max="6913" width="28.7109375" style="230" customWidth="1"/>
    <col min="6914" max="6914" width="12.140625" style="230" customWidth="1"/>
    <col min="6915" max="6921" width="9.140625" style="230" hidden="1" customWidth="1"/>
    <col min="6922" max="6922" width="11.28515625" style="230" customWidth="1"/>
    <col min="6923" max="6923" width="9.140625" style="230" hidden="1" customWidth="1"/>
    <col min="6924" max="6924" width="12.28515625" style="230" customWidth="1"/>
    <col min="6925" max="6932" width="9.140625" style="230" hidden="1" customWidth="1"/>
    <col min="6933" max="7168" width="9.140625" style="230"/>
    <col min="7169" max="7169" width="28.7109375" style="230" customWidth="1"/>
    <col min="7170" max="7170" width="12.140625" style="230" customWidth="1"/>
    <col min="7171" max="7177" width="9.140625" style="230" hidden="1" customWidth="1"/>
    <col min="7178" max="7178" width="11.28515625" style="230" customWidth="1"/>
    <col min="7179" max="7179" width="9.140625" style="230" hidden="1" customWidth="1"/>
    <col min="7180" max="7180" width="12.28515625" style="230" customWidth="1"/>
    <col min="7181" max="7188" width="9.140625" style="230" hidden="1" customWidth="1"/>
    <col min="7189" max="7424" width="9.140625" style="230"/>
    <col min="7425" max="7425" width="28.7109375" style="230" customWidth="1"/>
    <col min="7426" max="7426" width="12.140625" style="230" customWidth="1"/>
    <col min="7427" max="7433" width="9.140625" style="230" hidden="1" customWidth="1"/>
    <col min="7434" max="7434" width="11.28515625" style="230" customWidth="1"/>
    <col min="7435" max="7435" width="9.140625" style="230" hidden="1" customWidth="1"/>
    <col min="7436" max="7436" width="12.28515625" style="230" customWidth="1"/>
    <col min="7437" max="7444" width="9.140625" style="230" hidden="1" customWidth="1"/>
    <col min="7445" max="7680" width="9.140625" style="230"/>
    <col min="7681" max="7681" width="28.7109375" style="230" customWidth="1"/>
    <col min="7682" max="7682" width="12.140625" style="230" customWidth="1"/>
    <col min="7683" max="7689" width="9.140625" style="230" hidden="1" customWidth="1"/>
    <col min="7690" max="7690" width="11.28515625" style="230" customWidth="1"/>
    <col min="7691" max="7691" width="9.140625" style="230" hidden="1" customWidth="1"/>
    <col min="7692" max="7692" width="12.28515625" style="230" customWidth="1"/>
    <col min="7693" max="7700" width="9.140625" style="230" hidden="1" customWidth="1"/>
    <col min="7701" max="7936" width="9.140625" style="230"/>
    <col min="7937" max="7937" width="28.7109375" style="230" customWidth="1"/>
    <col min="7938" max="7938" width="12.140625" style="230" customWidth="1"/>
    <col min="7939" max="7945" width="9.140625" style="230" hidden="1" customWidth="1"/>
    <col min="7946" max="7946" width="11.28515625" style="230" customWidth="1"/>
    <col min="7947" max="7947" width="9.140625" style="230" hidden="1" customWidth="1"/>
    <col min="7948" max="7948" width="12.28515625" style="230" customWidth="1"/>
    <col min="7949" max="7956" width="9.140625" style="230" hidden="1" customWidth="1"/>
    <col min="7957" max="8192" width="9.140625" style="230"/>
    <col min="8193" max="8193" width="28.7109375" style="230" customWidth="1"/>
    <col min="8194" max="8194" width="12.140625" style="230" customWidth="1"/>
    <col min="8195" max="8201" width="9.140625" style="230" hidden="1" customWidth="1"/>
    <col min="8202" max="8202" width="11.28515625" style="230" customWidth="1"/>
    <col min="8203" max="8203" width="9.140625" style="230" hidden="1" customWidth="1"/>
    <col min="8204" max="8204" width="12.28515625" style="230" customWidth="1"/>
    <col min="8205" max="8212" width="9.140625" style="230" hidden="1" customWidth="1"/>
    <col min="8213" max="8448" width="9.140625" style="230"/>
    <col min="8449" max="8449" width="28.7109375" style="230" customWidth="1"/>
    <col min="8450" max="8450" width="12.140625" style="230" customWidth="1"/>
    <col min="8451" max="8457" width="9.140625" style="230" hidden="1" customWidth="1"/>
    <col min="8458" max="8458" width="11.28515625" style="230" customWidth="1"/>
    <col min="8459" max="8459" width="9.140625" style="230" hidden="1" customWidth="1"/>
    <col min="8460" max="8460" width="12.28515625" style="230" customWidth="1"/>
    <col min="8461" max="8468" width="9.140625" style="230" hidden="1" customWidth="1"/>
    <col min="8469" max="8704" width="9.140625" style="230"/>
    <col min="8705" max="8705" width="28.7109375" style="230" customWidth="1"/>
    <col min="8706" max="8706" width="12.140625" style="230" customWidth="1"/>
    <col min="8707" max="8713" width="9.140625" style="230" hidden="1" customWidth="1"/>
    <col min="8714" max="8714" width="11.28515625" style="230" customWidth="1"/>
    <col min="8715" max="8715" width="9.140625" style="230" hidden="1" customWidth="1"/>
    <col min="8716" max="8716" width="12.28515625" style="230" customWidth="1"/>
    <col min="8717" max="8724" width="9.140625" style="230" hidden="1" customWidth="1"/>
    <col min="8725" max="8960" width="9.140625" style="230"/>
    <col min="8961" max="8961" width="28.7109375" style="230" customWidth="1"/>
    <col min="8962" max="8962" width="12.140625" style="230" customWidth="1"/>
    <col min="8963" max="8969" width="9.140625" style="230" hidden="1" customWidth="1"/>
    <col min="8970" max="8970" width="11.28515625" style="230" customWidth="1"/>
    <col min="8971" max="8971" width="9.140625" style="230" hidden="1" customWidth="1"/>
    <col min="8972" max="8972" width="12.28515625" style="230" customWidth="1"/>
    <col min="8973" max="8980" width="9.140625" style="230" hidden="1" customWidth="1"/>
    <col min="8981" max="9216" width="9.140625" style="230"/>
    <col min="9217" max="9217" width="28.7109375" style="230" customWidth="1"/>
    <col min="9218" max="9218" width="12.140625" style="230" customWidth="1"/>
    <col min="9219" max="9225" width="9.140625" style="230" hidden="1" customWidth="1"/>
    <col min="9226" max="9226" width="11.28515625" style="230" customWidth="1"/>
    <col min="9227" max="9227" width="9.140625" style="230" hidden="1" customWidth="1"/>
    <col min="9228" max="9228" width="12.28515625" style="230" customWidth="1"/>
    <col min="9229" max="9236" width="9.140625" style="230" hidden="1" customWidth="1"/>
    <col min="9237" max="9472" width="9.140625" style="230"/>
    <col min="9473" max="9473" width="28.7109375" style="230" customWidth="1"/>
    <col min="9474" max="9474" width="12.140625" style="230" customWidth="1"/>
    <col min="9475" max="9481" width="9.140625" style="230" hidden="1" customWidth="1"/>
    <col min="9482" max="9482" width="11.28515625" style="230" customWidth="1"/>
    <col min="9483" max="9483" width="9.140625" style="230" hidden="1" customWidth="1"/>
    <col min="9484" max="9484" width="12.28515625" style="230" customWidth="1"/>
    <col min="9485" max="9492" width="9.140625" style="230" hidden="1" customWidth="1"/>
    <col min="9493" max="9728" width="9.140625" style="230"/>
    <col min="9729" max="9729" width="28.7109375" style="230" customWidth="1"/>
    <col min="9730" max="9730" width="12.140625" style="230" customWidth="1"/>
    <col min="9731" max="9737" width="9.140625" style="230" hidden="1" customWidth="1"/>
    <col min="9738" max="9738" width="11.28515625" style="230" customWidth="1"/>
    <col min="9739" max="9739" width="9.140625" style="230" hidden="1" customWidth="1"/>
    <col min="9740" max="9740" width="12.28515625" style="230" customWidth="1"/>
    <col min="9741" max="9748" width="9.140625" style="230" hidden="1" customWidth="1"/>
    <col min="9749" max="9984" width="9.140625" style="230"/>
    <col min="9985" max="9985" width="28.7109375" style="230" customWidth="1"/>
    <col min="9986" max="9986" width="12.140625" style="230" customWidth="1"/>
    <col min="9987" max="9993" width="9.140625" style="230" hidden="1" customWidth="1"/>
    <col min="9994" max="9994" width="11.28515625" style="230" customWidth="1"/>
    <col min="9995" max="9995" width="9.140625" style="230" hidden="1" customWidth="1"/>
    <col min="9996" max="9996" width="12.28515625" style="230" customWidth="1"/>
    <col min="9997" max="10004" width="9.140625" style="230" hidden="1" customWidth="1"/>
    <col min="10005" max="10240" width="9.140625" style="230"/>
    <col min="10241" max="10241" width="28.7109375" style="230" customWidth="1"/>
    <col min="10242" max="10242" width="12.140625" style="230" customWidth="1"/>
    <col min="10243" max="10249" width="9.140625" style="230" hidden="1" customWidth="1"/>
    <col min="10250" max="10250" width="11.28515625" style="230" customWidth="1"/>
    <col min="10251" max="10251" width="9.140625" style="230" hidden="1" customWidth="1"/>
    <col min="10252" max="10252" width="12.28515625" style="230" customWidth="1"/>
    <col min="10253" max="10260" width="9.140625" style="230" hidden="1" customWidth="1"/>
    <col min="10261" max="10496" width="9.140625" style="230"/>
    <col min="10497" max="10497" width="28.7109375" style="230" customWidth="1"/>
    <col min="10498" max="10498" width="12.140625" style="230" customWidth="1"/>
    <col min="10499" max="10505" width="9.140625" style="230" hidden="1" customWidth="1"/>
    <col min="10506" max="10506" width="11.28515625" style="230" customWidth="1"/>
    <col min="10507" max="10507" width="9.140625" style="230" hidden="1" customWidth="1"/>
    <col min="10508" max="10508" width="12.28515625" style="230" customWidth="1"/>
    <col min="10509" max="10516" width="9.140625" style="230" hidden="1" customWidth="1"/>
    <col min="10517" max="10752" width="9.140625" style="230"/>
    <col min="10753" max="10753" width="28.7109375" style="230" customWidth="1"/>
    <col min="10754" max="10754" width="12.140625" style="230" customWidth="1"/>
    <col min="10755" max="10761" width="9.140625" style="230" hidden="1" customWidth="1"/>
    <col min="10762" max="10762" width="11.28515625" style="230" customWidth="1"/>
    <col min="10763" max="10763" width="9.140625" style="230" hidden="1" customWidth="1"/>
    <col min="10764" max="10764" width="12.28515625" style="230" customWidth="1"/>
    <col min="10765" max="10772" width="9.140625" style="230" hidden="1" customWidth="1"/>
    <col min="10773" max="11008" width="9.140625" style="230"/>
    <col min="11009" max="11009" width="28.7109375" style="230" customWidth="1"/>
    <col min="11010" max="11010" width="12.140625" style="230" customWidth="1"/>
    <col min="11011" max="11017" width="9.140625" style="230" hidden="1" customWidth="1"/>
    <col min="11018" max="11018" width="11.28515625" style="230" customWidth="1"/>
    <col min="11019" max="11019" width="9.140625" style="230" hidden="1" customWidth="1"/>
    <col min="11020" max="11020" width="12.28515625" style="230" customWidth="1"/>
    <col min="11021" max="11028" width="9.140625" style="230" hidden="1" customWidth="1"/>
    <col min="11029" max="11264" width="9.140625" style="230"/>
    <col min="11265" max="11265" width="28.7109375" style="230" customWidth="1"/>
    <col min="11266" max="11266" width="12.140625" style="230" customWidth="1"/>
    <col min="11267" max="11273" width="9.140625" style="230" hidden="1" customWidth="1"/>
    <col min="11274" max="11274" width="11.28515625" style="230" customWidth="1"/>
    <col min="11275" max="11275" width="9.140625" style="230" hidden="1" customWidth="1"/>
    <col min="11276" max="11276" width="12.28515625" style="230" customWidth="1"/>
    <col min="11277" max="11284" width="9.140625" style="230" hidden="1" customWidth="1"/>
    <col min="11285" max="11520" width="9.140625" style="230"/>
    <col min="11521" max="11521" width="28.7109375" style="230" customWidth="1"/>
    <col min="11522" max="11522" width="12.140625" style="230" customWidth="1"/>
    <col min="11523" max="11529" width="9.140625" style="230" hidden="1" customWidth="1"/>
    <col min="11530" max="11530" width="11.28515625" style="230" customWidth="1"/>
    <col min="11531" max="11531" width="9.140625" style="230" hidden="1" customWidth="1"/>
    <col min="11532" max="11532" width="12.28515625" style="230" customWidth="1"/>
    <col min="11533" max="11540" width="9.140625" style="230" hidden="1" customWidth="1"/>
    <col min="11541" max="11776" width="9.140625" style="230"/>
    <col min="11777" max="11777" width="28.7109375" style="230" customWidth="1"/>
    <col min="11778" max="11778" width="12.140625" style="230" customWidth="1"/>
    <col min="11779" max="11785" width="9.140625" style="230" hidden="1" customWidth="1"/>
    <col min="11786" max="11786" width="11.28515625" style="230" customWidth="1"/>
    <col min="11787" max="11787" width="9.140625" style="230" hidden="1" customWidth="1"/>
    <col min="11788" max="11788" width="12.28515625" style="230" customWidth="1"/>
    <col min="11789" max="11796" width="9.140625" style="230" hidden="1" customWidth="1"/>
    <col min="11797" max="12032" width="9.140625" style="230"/>
    <col min="12033" max="12033" width="28.7109375" style="230" customWidth="1"/>
    <col min="12034" max="12034" width="12.140625" style="230" customWidth="1"/>
    <col min="12035" max="12041" width="9.140625" style="230" hidden="1" customWidth="1"/>
    <col min="12042" max="12042" width="11.28515625" style="230" customWidth="1"/>
    <col min="12043" max="12043" width="9.140625" style="230" hidden="1" customWidth="1"/>
    <col min="12044" max="12044" width="12.28515625" style="230" customWidth="1"/>
    <col min="12045" max="12052" width="9.140625" style="230" hidden="1" customWidth="1"/>
    <col min="12053" max="12288" width="9.140625" style="230"/>
    <col min="12289" max="12289" width="28.7109375" style="230" customWidth="1"/>
    <col min="12290" max="12290" width="12.140625" style="230" customWidth="1"/>
    <col min="12291" max="12297" width="9.140625" style="230" hidden="1" customWidth="1"/>
    <col min="12298" max="12298" width="11.28515625" style="230" customWidth="1"/>
    <col min="12299" max="12299" width="9.140625" style="230" hidden="1" customWidth="1"/>
    <col min="12300" max="12300" width="12.28515625" style="230" customWidth="1"/>
    <col min="12301" max="12308" width="9.140625" style="230" hidden="1" customWidth="1"/>
    <col min="12309" max="12544" width="9.140625" style="230"/>
    <col min="12545" max="12545" width="28.7109375" style="230" customWidth="1"/>
    <col min="12546" max="12546" width="12.140625" style="230" customWidth="1"/>
    <col min="12547" max="12553" width="9.140625" style="230" hidden="1" customWidth="1"/>
    <col min="12554" max="12554" width="11.28515625" style="230" customWidth="1"/>
    <col min="12555" max="12555" width="9.140625" style="230" hidden="1" customWidth="1"/>
    <col min="12556" max="12556" width="12.28515625" style="230" customWidth="1"/>
    <col min="12557" max="12564" width="9.140625" style="230" hidden="1" customWidth="1"/>
    <col min="12565" max="12800" width="9.140625" style="230"/>
    <col min="12801" max="12801" width="28.7109375" style="230" customWidth="1"/>
    <col min="12802" max="12802" width="12.140625" style="230" customWidth="1"/>
    <col min="12803" max="12809" width="9.140625" style="230" hidden="1" customWidth="1"/>
    <col min="12810" max="12810" width="11.28515625" style="230" customWidth="1"/>
    <col min="12811" max="12811" width="9.140625" style="230" hidden="1" customWidth="1"/>
    <col min="12812" max="12812" width="12.28515625" style="230" customWidth="1"/>
    <col min="12813" max="12820" width="9.140625" style="230" hidden="1" customWidth="1"/>
    <col min="12821" max="13056" width="9.140625" style="230"/>
    <col min="13057" max="13057" width="28.7109375" style="230" customWidth="1"/>
    <col min="13058" max="13058" width="12.140625" style="230" customWidth="1"/>
    <col min="13059" max="13065" width="9.140625" style="230" hidden="1" customWidth="1"/>
    <col min="13066" max="13066" width="11.28515625" style="230" customWidth="1"/>
    <col min="13067" max="13067" width="9.140625" style="230" hidden="1" customWidth="1"/>
    <col min="13068" max="13068" width="12.28515625" style="230" customWidth="1"/>
    <col min="13069" max="13076" width="9.140625" style="230" hidden="1" customWidth="1"/>
    <col min="13077" max="13312" width="9.140625" style="230"/>
    <col min="13313" max="13313" width="28.7109375" style="230" customWidth="1"/>
    <col min="13314" max="13314" width="12.140625" style="230" customWidth="1"/>
    <col min="13315" max="13321" width="9.140625" style="230" hidden="1" customWidth="1"/>
    <col min="13322" max="13322" width="11.28515625" style="230" customWidth="1"/>
    <col min="13323" max="13323" width="9.140625" style="230" hidden="1" customWidth="1"/>
    <col min="13324" max="13324" width="12.28515625" style="230" customWidth="1"/>
    <col min="13325" max="13332" width="9.140625" style="230" hidden="1" customWidth="1"/>
    <col min="13333" max="13568" width="9.140625" style="230"/>
    <col min="13569" max="13569" width="28.7109375" style="230" customWidth="1"/>
    <col min="13570" max="13570" width="12.140625" style="230" customWidth="1"/>
    <col min="13571" max="13577" width="9.140625" style="230" hidden="1" customWidth="1"/>
    <col min="13578" max="13578" width="11.28515625" style="230" customWidth="1"/>
    <col min="13579" max="13579" width="9.140625" style="230" hidden="1" customWidth="1"/>
    <col min="13580" max="13580" width="12.28515625" style="230" customWidth="1"/>
    <col min="13581" max="13588" width="9.140625" style="230" hidden="1" customWidth="1"/>
    <col min="13589" max="13824" width="9.140625" style="230"/>
    <col min="13825" max="13825" width="28.7109375" style="230" customWidth="1"/>
    <col min="13826" max="13826" width="12.140625" style="230" customWidth="1"/>
    <col min="13827" max="13833" width="9.140625" style="230" hidden="1" customWidth="1"/>
    <col min="13834" max="13834" width="11.28515625" style="230" customWidth="1"/>
    <col min="13835" max="13835" width="9.140625" style="230" hidden="1" customWidth="1"/>
    <col min="13836" max="13836" width="12.28515625" style="230" customWidth="1"/>
    <col min="13837" max="13844" width="9.140625" style="230" hidden="1" customWidth="1"/>
    <col min="13845" max="14080" width="9.140625" style="230"/>
    <col min="14081" max="14081" width="28.7109375" style="230" customWidth="1"/>
    <col min="14082" max="14082" width="12.140625" style="230" customWidth="1"/>
    <col min="14083" max="14089" width="9.140625" style="230" hidden="1" customWidth="1"/>
    <col min="14090" max="14090" width="11.28515625" style="230" customWidth="1"/>
    <col min="14091" max="14091" width="9.140625" style="230" hidden="1" customWidth="1"/>
    <col min="14092" max="14092" width="12.28515625" style="230" customWidth="1"/>
    <col min="14093" max="14100" width="9.140625" style="230" hidden="1" customWidth="1"/>
    <col min="14101" max="14336" width="9.140625" style="230"/>
    <col min="14337" max="14337" width="28.7109375" style="230" customWidth="1"/>
    <col min="14338" max="14338" width="12.140625" style="230" customWidth="1"/>
    <col min="14339" max="14345" width="9.140625" style="230" hidden="1" customWidth="1"/>
    <col min="14346" max="14346" width="11.28515625" style="230" customWidth="1"/>
    <col min="14347" max="14347" width="9.140625" style="230" hidden="1" customWidth="1"/>
    <col min="14348" max="14348" width="12.28515625" style="230" customWidth="1"/>
    <col min="14349" max="14356" width="9.140625" style="230" hidden="1" customWidth="1"/>
    <col min="14357" max="14592" width="9.140625" style="230"/>
    <col min="14593" max="14593" width="28.7109375" style="230" customWidth="1"/>
    <col min="14594" max="14594" width="12.140625" style="230" customWidth="1"/>
    <col min="14595" max="14601" width="9.140625" style="230" hidden="1" customWidth="1"/>
    <col min="14602" max="14602" width="11.28515625" style="230" customWidth="1"/>
    <col min="14603" max="14603" width="9.140625" style="230" hidden="1" customWidth="1"/>
    <col min="14604" max="14604" width="12.28515625" style="230" customWidth="1"/>
    <col min="14605" max="14612" width="9.140625" style="230" hidden="1" customWidth="1"/>
    <col min="14613" max="14848" width="9.140625" style="230"/>
    <col min="14849" max="14849" width="28.7109375" style="230" customWidth="1"/>
    <col min="14850" max="14850" width="12.140625" style="230" customWidth="1"/>
    <col min="14851" max="14857" width="9.140625" style="230" hidden="1" customWidth="1"/>
    <col min="14858" max="14858" width="11.28515625" style="230" customWidth="1"/>
    <col min="14859" max="14859" width="9.140625" style="230" hidden="1" customWidth="1"/>
    <col min="14860" max="14860" width="12.28515625" style="230" customWidth="1"/>
    <col min="14861" max="14868" width="9.140625" style="230" hidden="1" customWidth="1"/>
    <col min="14869" max="15104" width="9.140625" style="230"/>
    <col min="15105" max="15105" width="28.7109375" style="230" customWidth="1"/>
    <col min="15106" max="15106" width="12.140625" style="230" customWidth="1"/>
    <col min="15107" max="15113" width="9.140625" style="230" hidden="1" customWidth="1"/>
    <col min="15114" max="15114" width="11.28515625" style="230" customWidth="1"/>
    <col min="15115" max="15115" width="9.140625" style="230" hidden="1" customWidth="1"/>
    <col min="15116" max="15116" width="12.28515625" style="230" customWidth="1"/>
    <col min="15117" max="15124" width="9.140625" style="230" hidden="1" customWidth="1"/>
    <col min="15125" max="15360" width="9.140625" style="230"/>
    <col min="15361" max="15361" width="28.7109375" style="230" customWidth="1"/>
    <col min="15362" max="15362" width="12.140625" style="230" customWidth="1"/>
    <col min="15363" max="15369" width="9.140625" style="230" hidden="1" customWidth="1"/>
    <col min="15370" max="15370" width="11.28515625" style="230" customWidth="1"/>
    <col min="15371" max="15371" width="9.140625" style="230" hidden="1" customWidth="1"/>
    <col min="15372" max="15372" width="12.28515625" style="230" customWidth="1"/>
    <col min="15373" max="15380" width="9.140625" style="230" hidden="1" customWidth="1"/>
    <col min="15381" max="15616" width="9.140625" style="230"/>
    <col min="15617" max="15617" width="28.7109375" style="230" customWidth="1"/>
    <col min="15618" max="15618" width="12.140625" style="230" customWidth="1"/>
    <col min="15619" max="15625" width="9.140625" style="230" hidden="1" customWidth="1"/>
    <col min="15626" max="15626" width="11.28515625" style="230" customWidth="1"/>
    <col min="15627" max="15627" width="9.140625" style="230" hidden="1" customWidth="1"/>
    <col min="15628" max="15628" width="12.28515625" style="230" customWidth="1"/>
    <col min="15629" max="15636" width="9.140625" style="230" hidden="1" customWidth="1"/>
    <col min="15637" max="15872" width="9.140625" style="230"/>
    <col min="15873" max="15873" width="28.7109375" style="230" customWidth="1"/>
    <col min="15874" max="15874" width="12.140625" style="230" customWidth="1"/>
    <col min="15875" max="15881" width="9.140625" style="230" hidden="1" customWidth="1"/>
    <col min="15882" max="15882" width="11.28515625" style="230" customWidth="1"/>
    <col min="15883" max="15883" width="9.140625" style="230" hidden="1" customWidth="1"/>
    <col min="15884" max="15884" width="12.28515625" style="230" customWidth="1"/>
    <col min="15885" max="15892" width="9.140625" style="230" hidden="1" customWidth="1"/>
    <col min="15893" max="16128" width="9.140625" style="230"/>
    <col min="16129" max="16129" width="28.7109375" style="230" customWidth="1"/>
    <col min="16130" max="16130" width="12.140625" style="230" customWidth="1"/>
    <col min="16131" max="16137" width="9.140625" style="230" hidden="1" customWidth="1"/>
    <col min="16138" max="16138" width="11.28515625" style="230" customWidth="1"/>
    <col min="16139" max="16139" width="9.140625" style="230" hidden="1" customWidth="1"/>
    <col min="16140" max="16140" width="12.28515625" style="230" customWidth="1"/>
    <col min="16141" max="16148" width="9.140625" style="230" hidden="1" customWidth="1"/>
    <col min="16149" max="16384" width="9.140625" style="230"/>
  </cols>
  <sheetData>
    <row r="1" spans="1:27" ht="15.75" x14ac:dyDescent="0.25">
      <c r="A1" s="583" t="s">
        <v>3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</row>
    <row r="2" spans="1:27" ht="15.75" x14ac:dyDescent="0.25">
      <c r="A2" s="231"/>
      <c r="B2" s="232"/>
      <c r="C2" s="232"/>
      <c r="D2" s="232"/>
      <c r="E2" s="232"/>
      <c r="F2" s="232"/>
      <c r="G2" s="232"/>
      <c r="H2" s="232"/>
      <c r="I2" s="233"/>
      <c r="J2" s="232"/>
      <c r="K2" s="232"/>
      <c r="L2" s="233"/>
      <c r="M2" s="232"/>
      <c r="N2" s="232"/>
      <c r="O2" s="233"/>
      <c r="P2" s="233"/>
      <c r="Q2" s="232"/>
      <c r="R2" s="232"/>
      <c r="S2" s="232"/>
      <c r="T2" s="233"/>
      <c r="V2" s="230">
        <v>0.20978156178204815</v>
      </c>
      <c r="W2" s="230">
        <v>6.7001932595772057E-2</v>
      </c>
      <c r="X2" s="230">
        <v>0.11226255633959058</v>
      </c>
      <c r="Y2" s="230">
        <v>0.34504092410384801</v>
      </c>
      <c r="Z2" s="230">
        <v>9.8410959169971668E-2</v>
      </c>
      <c r="AA2" s="230">
        <v>0.16750206600876957</v>
      </c>
    </row>
    <row r="3" spans="1:27" ht="15" x14ac:dyDescent="0.25">
      <c r="A3" s="234"/>
      <c r="B3" s="235"/>
      <c r="C3" s="235"/>
      <c r="D3" s="235"/>
      <c r="E3" s="235"/>
      <c r="F3" s="235"/>
      <c r="G3" s="235"/>
      <c r="H3" s="235"/>
      <c r="I3" s="236"/>
      <c r="J3" s="235"/>
      <c r="K3" s="235"/>
      <c r="L3" s="236"/>
      <c r="M3" s="235"/>
      <c r="N3" s="235"/>
      <c r="O3" s="236"/>
      <c r="P3" s="236"/>
      <c r="Q3" s="235"/>
      <c r="R3" s="235"/>
      <c r="S3" s="235"/>
      <c r="T3" s="236"/>
    </row>
    <row r="4" spans="1:27" ht="15.75" x14ac:dyDescent="0.25">
      <c r="A4" s="237" t="s">
        <v>4</v>
      </c>
      <c r="B4" s="584"/>
      <c r="C4" s="585"/>
      <c r="D4" s="585"/>
      <c r="E4" s="585"/>
      <c r="F4" s="585"/>
      <c r="G4" s="585"/>
      <c r="H4" s="585"/>
      <c r="I4" s="585"/>
      <c r="J4" s="584" t="s">
        <v>6</v>
      </c>
      <c r="K4" s="584"/>
      <c r="L4" s="584"/>
      <c r="M4" s="584" t="s">
        <v>7</v>
      </c>
      <c r="N4" s="584"/>
      <c r="O4" s="584"/>
      <c r="P4" s="237" t="s">
        <v>8</v>
      </c>
      <c r="Q4" s="584" t="s">
        <v>9</v>
      </c>
      <c r="R4" s="584"/>
      <c r="S4" s="584"/>
      <c r="T4" s="238"/>
    </row>
    <row r="5" spans="1:27" ht="15.75" x14ac:dyDescent="0.25">
      <c r="A5" s="239"/>
      <c r="B5" s="240" t="s">
        <v>10</v>
      </c>
      <c r="C5" s="241" t="s">
        <v>11</v>
      </c>
      <c r="D5" s="241" t="s">
        <v>12</v>
      </c>
      <c r="E5" s="241" t="s">
        <v>13</v>
      </c>
      <c r="F5" s="241" t="s">
        <v>14</v>
      </c>
      <c r="G5" s="241" t="s">
        <v>15</v>
      </c>
      <c r="H5" s="241" t="s">
        <v>16</v>
      </c>
      <c r="I5" s="242" t="s">
        <v>17</v>
      </c>
      <c r="J5" s="241" t="s">
        <v>18</v>
      </c>
      <c r="K5" s="241" t="s">
        <v>19</v>
      </c>
      <c r="L5" s="242" t="s">
        <v>20</v>
      </c>
      <c r="M5" s="241" t="s">
        <v>21</v>
      </c>
      <c r="N5" s="241" t="s">
        <v>22</v>
      </c>
      <c r="O5" s="242" t="s">
        <v>20</v>
      </c>
      <c r="P5" s="242" t="s">
        <v>23</v>
      </c>
      <c r="Q5" s="241" t="s">
        <v>24</v>
      </c>
      <c r="R5" s="241" t="s">
        <v>25</v>
      </c>
      <c r="S5" s="241" t="s">
        <v>20</v>
      </c>
      <c r="T5" s="242" t="s">
        <v>26</v>
      </c>
    </row>
    <row r="6" spans="1:27" ht="15.75" x14ac:dyDescent="0.25">
      <c r="A6" s="584" t="s">
        <v>0</v>
      </c>
      <c r="B6" s="585"/>
      <c r="C6" s="585"/>
      <c r="D6" s="585"/>
      <c r="E6" s="585"/>
      <c r="F6" s="585"/>
      <c r="G6" s="585"/>
      <c r="H6" s="585"/>
      <c r="I6" s="585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</row>
    <row r="7" spans="1:27" ht="31.15" hidden="1" customHeight="1" x14ac:dyDescent="0.25">
      <c r="A7" s="239" t="s">
        <v>28</v>
      </c>
      <c r="B7" s="240" t="s">
        <v>29</v>
      </c>
      <c r="C7" s="243">
        <v>1.6400000000000001E-2</v>
      </c>
      <c r="D7" s="243">
        <v>1.6400000000000001E-2</v>
      </c>
      <c r="E7" s="243">
        <v>1.6400000000000001E-2</v>
      </c>
      <c r="F7" s="243">
        <v>1.6400000000000001E-2</v>
      </c>
      <c r="G7" s="243">
        <v>1.6400000000000001E-2</v>
      </c>
      <c r="H7" s="243">
        <v>1.6400000000000001E-2</v>
      </c>
      <c r="I7" s="244"/>
      <c r="J7" s="243">
        <v>1.6400000000000001E-2</v>
      </c>
      <c r="K7" s="243"/>
      <c r="L7" s="244"/>
      <c r="M7" s="241">
        <v>1.6400000000000001E-2</v>
      </c>
      <c r="N7" s="241">
        <v>1.6400000000000001E-2</v>
      </c>
      <c r="O7" s="242"/>
      <c r="P7" s="242">
        <v>1.6400000000000001E-2</v>
      </c>
      <c r="Q7" s="241">
        <v>1.6400000000000001E-2</v>
      </c>
      <c r="R7" s="241">
        <v>1.6400000000000001E-2</v>
      </c>
      <c r="S7" s="242"/>
      <c r="T7" s="242"/>
    </row>
    <row r="8" spans="1:27" ht="15.75" hidden="1" x14ac:dyDescent="0.25">
      <c r="A8" s="245" t="s">
        <v>30</v>
      </c>
      <c r="B8" s="238" t="s">
        <v>31</v>
      </c>
      <c r="C8" s="246">
        <f t="shared" ref="C8:H8" si="0">C7*C9</f>
        <v>11.064089129256798</v>
      </c>
      <c r="D8" s="246">
        <f t="shared" si="0"/>
        <v>3.5337488565475814</v>
      </c>
      <c r="E8" s="246">
        <f t="shared" si="0"/>
        <v>5.9208393658061373</v>
      </c>
      <c r="F8" s="246">
        <f t="shared" si="0"/>
        <v>18.197803015177996</v>
      </c>
      <c r="G8" s="246">
        <f t="shared" si="0"/>
        <v>5.1902922940551468</v>
      </c>
      <c r="H8" s="246">
        <f t="shared" si="0"/>
        <v>8.8342262871563424</v>
      </c>
      <c r="I8" s="246">
        <f>SUM(C8:H8)</f>
        <v>52.740998948000005</v>
      </c>
      <c r="J8" s="247"/>
      <c r="K8" s="247"/>
      <c r="L8" s="248"/>
      <c r="M8" s="246">
        <f>M7*M9</f>
        <v>52.559905284109</v>
      </c>
      <c r="N8" s="246">
        <f>N7*N9</f>
        <v>28.456616021546949</v>
      </c>
      <c r="O8" s="249">
        <f>SUM(M8:N8)</f>
        <v>81.016521305655942</v>
      </c>
      <c r="P8" s="246">
        <f>P7*P9</f>
        <v>53.517604825160006</v>
      </c>
      <c r="Q8" s="246">
        <f>Q7*Q9</f>
        <v>18.843990380359863</v>
      </c>
      <c r="R8" s="246">
        <f>R7*R9</f>
        <v>33.266818450665411</v>
      </c>
      <c r="S8" s="249">
        <f>SUM(Q8:R8)</f>
        <v>52.110808831025274</v>
      </c>
      <c r="T8" s="249">
        <f>I8+L8+O8+P8+S8</f>
        <v>239.38593390984124</v>
      </c>
    </row>
    <row r="9" spans="1:27" ht="15.75" x14ac:dyDescent="0.25">
      <c r="A9" s="250" t="s">
        <v>32</v>
      </c>
      <c r="B9" s="251" t="s">
        <v>33</v>
      </c>
      <c r="C9" s="252">
        <f>V2*I9</f>
        <v>674.63958105224378</v>
      </c>
      <c r="D9" s="252">
        <f>I9*W2</f>
        <v>215.47249125290128</v>
      </c>
      <c r="E9" s="252">
        <f>I9*X2</f>
        <v>361.02679059793519</v>
      </c>
      <c r="F9" s="252">
        <f>I9*Y2</f>
        <v>1109.622135071829</v>
      </c>
      <c r="G9" s="252">
        <f>I9*Z2</f>
        <v>316.481237442387</v>
      </c>
      <c r="H9" s="252">
        <f>I9*AA2</f>
        <v>538.6723345827038</v>
      </c>
      <c r="I9" s="253">
        <f>[4]витим!F40</f>
        <v>3215.9145699999999</v>
      </c>
      <c r="J9" s="254" t="e">
        <f>#REF!</f>
        <v>#REF!</v>
      </c>
      <c r="K9" s="254"/>
      <c r="L9" s="253" t="e">
        <f>#REF!</f>
        <v>#REF!</v>
      </c>
      <c r="M9" s="252">
        <f>'[1]расчет объема'!$G$19</f>
        <v>3204.8722734212802</v>
      </c>
      <c r="N9" s="252">
        <f>'[1]расчет объема'!$G$20</f>
        <v>1735.1595135089601</v>
      </c>
      <c r="O9" s="255">
        <f>SUM(M9:N9)</f>
        <v>4940.0317869302398</v>
      </c>
      <c r="P9" s="255">
        <f>'[1]расчет объема'!$G$23</f>
        <v>3263.2685869000002</v>
      </c>
      <c r="Q9" s="252">
        <f>'[1]расчет объема'!$G$25</f>
        <v>1149.0238036804794</v>
      </c>
      <c r="R9" s="252">
        <f>'[1]расчет объема'!$G$26</f>
        <v>2028.4645396747198</v>
      </c>
      <c r="S9" s="255">
        <f>SUM(Q9:R9)</f>
        <v>3177.4883433551995</v>
      </c>
      <c r="T9" s="249" t="e">
        <f>I9+L9+O9+P9+S9</f>
        <v>#REF!</v>
      </c>
    </row>
    <row r="10" spans="1:27" ht="33" customHeight="1" x14ac:dyDescent="0.25">
      <c r="A10" s="239" t="s">
        <v>34</v>
      </c>
      <c r="B10" s="251" t="s">
        <v>29</v>
      </c>
      <c r="C10" s="251">
        <v>2.0400000000000001E-2</v>
      </c>
      <c r="D10" s="251">
        <v>2.0400000000000001E-2</v>
      </c>
      <c r="E10" s="251">
        <v>2.0400000000000001E-2</v>
      </c>
      <c r="F10" s="251">
        <v>2.0400000000000001E-2</v>
      </c>
      <c r="G10" s="251">
        <v>2.0400000000000001E-2</v>
      </c>
      <c r="H10" s="251">
        <v>2.0400000000000001E-2</v>
      </c>
      <c r="I10" s="256"/>
      <c r="J10" s="251">
        <v>2.4E-2</v>
      </c>
      <c r="K10" s="251"/>
      <c r="L10" s="257"/>
      <c r="M10" s="251">
        <v>2.0400000000000001E-2</v>
      </c>
      <c r="N10" s="251">
        <v>2.0400000000000001E-2</v>
      </c>
      <c r="O10" s="257"/>
      <c r="P10" s="257">
        <v>2.0400000000000001E-2</v>
      </c>
      <c r="Q10" s="251">
        <v>2.0400000000000001E-2</v>
      </c>
      <c r="R10" s="251">
        <v>2.0400000000000001E-2</v>
      </c>
      <c r="S10" s="257"/>
      <c r="T10" s="257"/>
    </row>
    <row r="11" spans="1:27" ht="31.5" x14ac:dyDescent="0.25">
      <c r="A11" s="239" t="s">
        <v>35</v>
      </c>
      <c r="B11" s="251" t="s">
        <v>36</v>
      </c>
      <c r="C11" s="251">
        <v>12.9</v>
      </c>
      <c r="D11" s="251">
        <v>12.9</v>
      </c>
      <c r="E11" s="251">
        <v>12.9</v>
      </c>
      <c r="F11" s="251">
        <v>12.9</v>
      </c>
      <c r="G11" s="251">
        <v>12.9</v>
      </c>
      <c r="H11" s="251">
        <v>12.9</v>
      </c>
      <c r="I11" s="258"/>
      <c r="J11" s="251">
        <f>H11</f>
        <v>12.9</v>
      </c>
      <c r="K11" s="251"/>
      <c r="L11" s="251">
        <v>18</v>
      </c>
      <c r="M11" s="259">
        <v>18</v>
      </c>
      <c r="N11" s="259">
        <v>18</v>
      </c>
      <c r="O11" s="259">
        <v>18</v>
      </c>
      <c r="P11" s="259">
        <v>18</v>
      </c>
      <c r="Q11" s="259">
        <v>18</v>
      </c>
      <c r="R11" s="259">
        <v>18</v>
      </c>
      <c r="S11" s="259">
        <v>18</v>
      </c>
      <c r="T11" s="259">
        <v>18</v>
      </c>
    </row>
    <row r="12" spans="1:27" ht="15.75" x14ac:dyDescent="0.25">
      <c r="A12" s="250" t="s">
        <v>37</v>
      </c>
      <c r="B12" s="251" t="s">
        <v>33</v>
      </c>
      <c r="C12" s="260">
        <f t="shared" ref="C12:H12" si="1">C9*C11/100</f>
        <v>87.028505955739462</v>
      </c>
      <c r="D12" s="260">
        <f t="shared" si="1"/>
        <v>27.795951371624266</v>
      </c>
      <c r="E12" s="260">
        <f t="shared" si="1"/>
        <v>46.572455987133644</v>
      </c>
      <c r="F12" s="260">
        <f t="shared" si="1"/>
        <v>143.14125542426595</v>
      </c>
      <c r="G12" s="260">
        <f t="shared" si="1"/>
        <v>40.826079630067923</v>
      </c>
      <c r="H12" s="260">
        <f t="shared" si="1"/>
        <v>69.488731161168786</v>
      </c>
      <c r="I12" s="253">
        <f>SUM(C12:H12)</f>
        <v>414.85297953000003</v>
      </c>
      <c r="J12" s="261" t="e">
        <f>J9*J11/100</f>
        <v>#REF!</v>
      </c>
      <c r="K12" s="261"/>
      <c r="L12" s="248" t="e">
        <f>SUM(J12:K12)</f>
        <v>#REF!</v>
      </c>
      <c r="M12" s="260">
        <f>M9*M11/100</f>
        <v>576.87700921583041</v>
      </c>
      <c r="N12" s="260">
        <f>N9*N11/100</f>
        <v>312.32871243161281</v>
      </c>
      <c r="O12" s="249">
        <f>SUM(M12:N12)</f>
        <v>889.20572164744317</v>
      </c>
      <c r="P12" s="246">
        <f>P9*P11/100</f>
        <v>587.3883456420001</v>
      </c>
      <c r="Q12" s="260">
        <f>Q9*Q11/100</f>
        <v>206.82428466248632</v>
      </c>
      <c r="R12" s="260">
        <f>R9*R11/100</f>
        <v>365.12361714144959</v>
      </c>
      <c r="S12" s="249">
        <f>SUM(Q12:R12)</f>
        <v>571.94790180393591</v>
      </c>
      <c r="T12" s="249" t="e">
        <f>I12+L12+O12+P12+S12</f>
        <v>#REF!</v>
      </c>
    </row>
    <row r="13" spans="1:27" ht="49.9" customHeight="1" x14ac:dyDescent="0.2">
      <c r="A13" s="262" t="s">
        <v>38</v>
      </c>
      <c r="B13" s="257" t="s">
        <v>31</v>
      </c>
      <c r="C13" s="247">
        <f t="shared" ref="C13:H13" si="2">C10*C12</f>
        <v>1.7753815214970852</v>
      </c>
      <c r="D13" s="247">
        <f t="shared" si="2"/>
        <v>0.56703740798113511</v>
      </c>
      <c r="E13" s="247">
        <f t="shared" si="2"/>
        <v>0.95007810213752641</v>
      </c>
      <c r="F13" s="247">
        <f t="shared" si="2"/>
        <v>2.9200816106550254</v>
      </c>
      <c r="G13" s="247">
        <f t="shared" si="2"/>
        <v>0.83285202445338569</v>
      </c>
      <c r="H13" s="247">
        <f t="shared" si="2"/>
        <v>1.4175701156878433</v>
      </c>
      <c r="I13" s="253">
        <f>SUM(C13:H13)</f>
        <v>8.463000782412001</v>
      </c>
      <c r="J13" s="247" t="e">
        <f>J10*J12</f>
        <v>#REF!</v>
      </c>
      <c r="K13" s="247"/>
      <c r="L13" s="248" t="e">
        <f>SUM(J13:K13)</f>
        <v>#REF!</v>
      </c>
      <c r="M13" s="247">
        <f>M10*M12</f>
        <v>11.768290988002942</v>
      </c>
      <c r="N13" s="247">
        <f>N10*N12</f>
        <v>6.3715057336049021</v>
      </c>
      <c r="O13" s="248">
        <f>SUM(M13:N13)</f>
        <v>18.139796721607844</v>
      </c>
      <c r="P13" s="247">
        <f>P10*P12</f>
        <v>11.982722251096803</v>
      </c>
      <c r="Q13" s="247">
        <f>Q10*Q12</f>
        <v>4.2192154071147216</v>
      </c>
      <c r="R13" s="247">
        <f>R10*R12</f>
        <v>7.4485217896855724</v>
      </c>
      <c r="S13" s="248">
        <f>SUM(Q13:R13)</f>
        <v>11.667737196800294</v>
      </c>
      <c r="T13" s="248" t="e">
        <f>I13+L13+O13+P13+S13</f>
        <v>#REF!</v>
      </c>
    </row>
    <row r="14" spans="1:27" ht="15.75" x14ac:dyDescent="0.25">
      <c r="A14" s="250" t="s">
        <v>39</v>
      </c>
      <c r="B14" s="251" t="s">
        <v>40</v>
      </c>
      <c r="C14" s="263">
        <f>5400/1.2</f>
        <v>4500</v>
      </c>
      <c r="D14" s="263">
        <f>C14</f>
        <v>4500</v>
      </c>
      <c r="E14" s="263">
        <f>D14</f>
        <v>4500</v>
      </c>
      <c r="F14" s="263">
        <f>E14</f>
        <v>4500</v>
      </c>
      <c r="G14" s="263">
        <f>F14</f>
        <v>4500</v>
      </c>
      <c r="H14" s="263">
        <f>G14</f>
        <v>4500</v>
      </c>
      <c r="I14" s="264"/>
      <c r="J14" s="251">
        <f>[4]гуртовка!B16/1.2</f>
        <v>4684.5</v>
      </c>
      <c r="K14" s="251"/>
      <c r="L14" s="251">
        <f>J14</f>
        <v>4684.5</v>
      </c>
      <c r="M14" s="259">
        <v>5400</v>
      </c>
      <c r="N14" s="259">
        <v>5400</v>
      </c>
      <c r="O14" s="259">
        <v>5400</v>
      </c>
      <c r="P14" s="259">
        <v>5400</v>
      </c>
      <c r="Q14" s="259">
        <v>5400</v>
      </c>
      <c r="R14" s="259">
        <v>5400</v>
      </c>
      <c r="S14" s="259">
        <v>5400</v>
      </c>
      <c r="T14" s="259">
        <v>5400</v>
      </c>
    </row>
    <row r="15" spans="1:27" ht="15.75" x14ac:dyDescent="0.25">
      <c r="A15" s="250" t="s">
        <v>41</v>
      </c>
      <c r="B15" s="251" t="s">
        <v>31</v>
      </c>
      <c r="C15" s="260">
        <f t="shared" ref="C15:H15" si="3">C8+C13</f>
        <v>12.839470650753883</v>
      </c>
      <c r="D15" s="260">
        <f t="shared" si="3"/>
        <v>4.1007862645287165</v>
      </c>
      <c r="E15" s="260">
        <f t="shared" si="3"/>
        <v>6.8709174679436638</v>
      </c>
      <c r="F15" s="260">
        <f t="shared" si="3"/>
        <v>21.117884625833021</v>
      </c>
      <c r="G15" s="260">
        <f t="shared" si="3"/>
        <v>6.0231443185085327</v>
      </c>
      <c r="H15" s="260">
        <f t="shared" si="3"/>
        <v>10.251796402844185</v>
      </c>
      <c r="I15" s="253">
        <f>SUM(C15:H15)</f>
        <v>61.203999730412008</v>
      </c>
      <c r="J15" s="261" t="e">
        <f>J8+J13</f>
        <v>#REF!</v>
      </c>
      <c r="K15" s="261"/>
      <c r="L15" s="248" t="e">
        <f>SUM(J15:K15)</f>
        <v>#REF!</v>
      </c>
      <c r="M15" s="260">
        <f t="shared" ref="M15:R15" si="4">M8+M13</f>
        <v>64.328196272111938</v>
      </c>
      <c r="N15" s="260">
        <f t="shared" si="4"/>
        <v>34.828121755151855</v>
      </c>
      <c r="O15" s="249">
        <f>SUM(M15:N15)</f>
        <v>99.156318027263794</v>
      </c>
      <c r="P15" s="246">
        <f t="shared" si="4"/>
        <v>65.500327076256809</v>
      </c>
      <c r="Q15" s="260">
        <f t="shared" si="4"/>
        <v>23.063205787474583</v>
      </c>
      <c r="R15" s="260">
        <f t="shared" si="4"/>
        <v>40.715340240350983</v>
      </c>
      <c r="S15" s="249">
        <f>SUM(Q15:R15)</f>
        <v>63.77854602782557</v>
      </c>
      <c r="T15" s="249" t="e">
        <f>I15+L15+O15+P15+S15</f>
        <v>#REF!</v>
      </c>
    </row>
    <row r="16" spans="1:27" ht="31.5" x14ac:dyDescent="0.25">
      <c r="A16" s="265" t="s">
        <v>73</v>
      </c>
      <c r="B16" s="257" t="s">
        <v>43</v>
      </c>
      <c r="C16" s="247">
        <f t="shared" ref="C16:H16" si="5">(C15)*C14/1000</f>
        <v>57.777617928392473</v>
      </c>
      <c r="D16" s="247">
        <f t="shared" si="5"/>
        <v>18.453538190379227</v>
      </c>
      <c r="E16" s="247">
        <f t="shared" si="5"/>
        <v>30.919128605746486</v>
      </c>
      <c r="F16" s="247">
        <f t="shared" si="5"/>
        <v>95.030480816248598</v>
      </c>
      <c r="G16" s="247">
        <f t="shared" si="5"/>
        <v>27.104149433288395</v>
      </c>
      <c r="H16" s="247">
        <f t="shared" si="5"/>
        <v>46.13308381279883</v>
      </c>
      <c r="I16" s="253">
        <f>SUM(C16:H16)</f>
        <v>275.41799878685401</v>
      </c>
      <c r="J16" s="247" t="e">
        <f>(J8+J13)*J14/1000</f>
        <v>#REF!</v>
      </c>
      <c r="K16" s="247"/>
      <c r="L16" s="248" t="e">
        <f>SUM(J16:K16)</f>
        <v>#REF!</v>
      </c>
      <c r="M16" s="246">
        <f t="shared" ref="M16:R16" si="6">(M8+M13)*M14/1000</f>
        <v>347.3722598694045</v>
      </c>
      <c r="N16" s="246">
        <f t="shared" si="6"/>
        <v>188.07185747782</v>
      </c>
      <c r="O16" s="249">
        <f>SUM(M16:N16)</f>
        <v>535.44411734722451</v>
      </c>
      <c r="P16" s="246">
        <f t="shared" si="6"/>
        <v>353.70176621178678</v>
      </c>
      <c r="Q16" s="246">
        <f t="shared" si="6"/>
        <v>124.54131125236275</v>
      </c>
      <c r="R16" s="246">
        <f t="shared" si="6"/>
        <v>219.86283729789531</v>
      </c>
      <c r="S16" s="249">
        <f>SUM(Q16:R16)</f>
        <v>344.40414855025807</v>
      </c>
      <c r="T16" s="249" t="e">
        <f>I16+L16+O16+P16+S16</f>
        <v>#REF!</v>
      </c>
    </row>
    <row r="17" spans="1:20" ht="15.75" x14ac:dyDescent="0.25">
      <c r="A17" s="580" t="s">
        <v>1</v>
      </c>
      <c r="B17" s="580"/>
      <c r="C17" s="580"/>
      <c r="D17" s="580"/>
      <c r="E17" s="580"/>
      <c r="F17" s="580"/>
      <c r="G17" s="580"/>
      <c r="H17" s="580"/>
      <c r="I17" s="580"/>
      <c r="J17" s="580"/>
      <c r="K17" s="580"/>
      <c r="L17" s="580"/>
      <c r="M17" s="580"/>
      <c r="N17" s="580"/>
      <c r="O17" s="580"/>
      <c r="P17" s="580"/>
      <c r="Q17" s="580"/>
      <c r="R17" s="580"/>
      <c r="S17" s="580"/>
      <c r="T17" s="580"/>
    </row>
    <row r="18" spans="1:20" ht="15.75" x14ac:dyDescent="0.25">
      <c r="A18" s="265" t="s">
        <v>1</v>
      </c>
      <c r="B18" s="257" t="s">
        <v>31</v>
      </c>
      <c r="C18" s="246">
        <f t="shared" ref="C18:H18" si="7">C28*C29</f>
        <v>8.0849482032881941</v>
      </c>
      <c r="D18" s="246">
        <f t="shared" si="7"/>
        <v>2.4664274183754604</v>
      </c>
      <c r="E18" s="246">
        <f t="shared" si="7"/>
        <v>4.132529261258326</v>
      </c>
      <c r="F18" s="246">
        <f t="shared" si="7"/>
        <v>15.087088321717632</v>
      </c>
      <c r="G18" s="246">
        <f t="shared" si="7"/>
        <v>3.7927427976333097</v>
      </c>
      <c r="H18" s="246">
        <f t="shared" si="7"/>
        <v>6.45550312487258</v>
      </c>
      <c r="I18" s="253">
        <f>SUM(C18:H18)</f>
        <v>40.019239127145497</v>
      </c>
      <c r="J18" s="247" t="e">
        <f t="shared" ref="J18:R18" si="8">J28*J29</f>
        <v>#REF!</v>
      </c>
      <c r="K18" s="247"/>
      <c r="L18" s="247" t="e">
        <f>SUM(J18:K18)</f>
        <v>#REF!</v>
      </c>
      <c r="M18" s="246">
        <f t="shared" si="8"/>
        <v>28.525194589034207</v>
      </c>
      <c r="N18" s="246">
        <f>N28*N29</f>
        <v>12.841171919688309</v>
      </c>
      <c r="O18" s="246">
        <f>SUM(M18:N18)</f>
        <v>41.366366508722514</v>
      </c>
      <c r="P18" s="246">
        <f t="shared" si="8"/>
        <v>314.68637561679793</v>
      </c>
      <c r="Q18" s="246">
        <f t="shared" si="8"/>
        <v>10.719407210792861</v>
      </c>
      <c r="R18" s="246">
        <f t="shared" si="8"/>
        <v>20.749453556981234</v>
      </c>
      <c r="S18" s="246">
        <f>SUM(Q18:R18)</f>
        <v>31.468860767774096</v>
      </c>
      <c r="T18" s="249" t="e">
        <f>I18+L18+O18+P18+S18</f>
        <v>#REF!</v>
      </c>
    </row>
    <row r="19" spans="1:20" ht="33.6" customHeight="1" x14ac:dyDescent="0.25">
      <c r="A19" s="239" t="s">
        <v>44</v>
      </c>
      <c r="B19" s="251" t="s">
        <v>45</v>
      </c>
      <c r="C19" s="266">
        <f>1.5*2</f>
        <v>3</v>
      </c>
      <c r="D19" s="266">
        <f>1*2</f>
        <v>2</v>
      </c>
      <c r="E19" s="266">
        <f>1*2</f>
        <v>2</v>
      </c>
      <c r="F19" s="266">
        <f>3*2</f>
        <v>6</v>
      </c>
      <c r="G19" s="266">
        <f>1.5*2</f>
        <v>3</v>
      </c>
      <c r="H19" s="266">
        <f>1.5*2</f>
        <v>3</v>
      </c>
      <c r="I19" s="253"/>
      <c r="J19" s="251">
        <f>1*2</f>
        <v>2</v>
      </c>
      <c r="K19" s="251"/>
      <c r="L19" s="257"/>
      <c r="M19" s="251">
        <f>1*2</f>
        <v>2</v>
      </c>
      <c r="N19" s="251">
        <v>0</v>
      </c>
      <c r="O19" s="257"/>
      <c r="P19" s="257">
        <v>0.8</v>
      </c>
      <c r="Q19" s="251">
        <v>0</v>
      </c>
      <c r="R19" s="251">
        <v>1.2</v>
      </c>
      <c r="S19" s="257"/>
      <c r="T19" s="257"/>
    </row>
    <row r="20" spans="1:20" ht="15.75" x14ac:dyDescent="0.25">
      <c r="A20" s="250" t="s">
        <v>46</v>
      </c>
      <c r="B20" s="251" t="s">
        <v>47</v>
      </c>
      <c r="C20" s="259">
        <v>24</v>
      </c>
      <c r="D20" s="259">
        <v>24</v>
      </c>
      <c r="E20" s="259">
        <v>24</v>
      </c>
      <c r="F20" s="259">
        <v>24</v>
      </c>
      <c r="G20" s="259">
        <v>24</v>
      </c>
      <c r="H20" s="259">
        <v>24</v>
      </c>
      <c r="I20" s="267"/>
      <c r="J20" s="251">
        <v>24</v>
      </c>
      <c r="K20" s="251"/>
      <c r="L20" s="257">
        <v>24</v>
      </c>
      <c r="M20" s="259">
        <v>24</v>
      </c>
      <c r="N20" s="259">
        <v>24</v>
      </c>
      <c r="O20" s="237">
        <v>24</v>
      </c>
      <c r="P20" s="237">
        <v>24</v>
      </c>
      <c r="Q20" s="259">
        <v>24</v>
      </c>
      <c r="R20" s="259">
        <v>24</v>
      </c>
      <c r="S20" s="237">
        <v>24</v>
      </c>
      <c r="T20" s="237">
        <v>24</v>
      </c>
    </row>
    <row r="21" spans="1:20" ht="42.6" customHeight="1" x14ac:dyDescent="0.25">
      <c r="A21" s="239" t="s">
        <v>48</v>
      </c>
      <c r="B21" s="251" t="s">
        <v>45</v>
      </c>
      <c r="C21" s="266">
        <f t="shared" ref="C21:H21" si="9">7*2</f>
        <v>14</v>
      </c>
      <c r="D21" s="266">
        <f t="shared" si="9"/>
        <v>14</v>
      </c>
      <c r="E21" s="266">
        <f t="shared" si="9"/>
        <v>14</v>
      </c>
      <c r="F21" s="266">
        <f t="shared" si="9"/>
        <v>14</v>
      </c>
      <c r="G21" s="266">
        <f t="shared" si="9"/>
        <v>14</v>
      </c>
      <c r="H21" s="266">
        <f t="shared" si="9"/>
        <v>14</v>
      </c>
      <c r="I21" s="267"/>
      <c r="J21" s="251">
        <f>5*2</f>
        <v>10</v>
      </c>
      <c r="K21" s="251"/>
      <c r="L21" s="257"/>
      <c r="M21" s="251">
        <f>1.5*2</f>
        <v>3</v>
      </c>
      <c r="N21" s="251">
        <f>1.5*2</f>
        <v>3</v>
      </c>
      <c r="O21" s="257"/>
      <c r="P21" s="257">
        <v>5</v>
      </c>
      <c r="Q21" s="251">
        <v>6</v>
      </c>
      <c r="R21" s="251">
        <v>6</v>
      </c>
      <c r="S21" s="257"/>
      <c r="T21" s="257"/>
    </row>
    <row r="22" spans="1:20" ht="15.75" x14ac:dyDescent="0.25">
      <c r="A22" s="250" t="s">
        <v>49</v>
      </c>
      <c r="B22" s="251" t="s">
        <v>47</v>
      </c>
      <c r="C22" s="259">
        <v>28</v>
      </c>
      <c r="D22" s="259">
        <v>28</v>
      </c>
      <c r="E22" s="259">
        <v>28</v>
      </c>
      <c r="F22" s="259">
        <v>28</v>
      </c>
      <c r="G22" s="259">
        <v>28</v>
      </c>
      <c r="H22" s="259">
        <v>28</v>
      </c>
      <c r="I22" s="267"/>
      <c r="J22" s="251">
        <v>28</v>
      </c>
      <c r="K22" s="251"/>
      <c r="L22" s="257">
        <v>28</v>
      </c>
      <c r="M22" s="259">
        <v>28</v>
      </c>
      <c r="N22" s="259">
        <v>28</v>
      </c>
      <c r="O22" s="237">
        <v>28</v>
      </c>
      <c r="P22" s="237">
        <v>28</v>
      </c>
      <c r="Q22" s="259">
        <v>28</v>
      </c>
      <c r="R22" s="259">
        <v>28</v>
      </c>
      <c r="S22" s="237">
        <v>28</v>
      </c>
      <c r="T22" s="237">
        <v>28</v>
      </c>
    </row>
    <row r="23" spans="1:20" ht="15.75" x14ac:dyDescent="0.25">
      <c r="A23" s="250" t="s">
        <v>50</v>
      </c>
      <c r="B23" s="251" t="s">
        <v>51</v>
      </c>
      <c r="C23" s="260">
        <f t="shared" ref="C23:H23" si="10">(C19/C20+C21/C22)</f>
        <v>0.625</v>
      </c>
      <c r="D23" s="260">
        <f t="shared" si="10"/>
        <v>0.58333333333333337</v>
      </c>
      <c r="E23" s="260">
        <f t="shared" si="10"/>
        <v>0.58333333333333337</v>
      </c>
      <c r="F23" s="260">
        <f t="shared" si="10"/>
        <v>0.75</v>
      </c>
      <c r="G23" s="260">
        <f t="shared" si="10"/>
        <v>0.625</v>
      </c>
      <c r="H23" s="260">
        <f t="shared" si="10"/>
        <v>0.625</v>
      </c>
      <c r="I23" s="253"/>
      <c r="J23" s="261">
        <f>(J19/J20+J21/J22)</f>
        <v>0.44047619047619047</v>
      </c>
      <c r="K23" s="261"/>
      <c r="L23" s="247"/>
      <c r="M23" s="260">
        <f>(M19/M20+M21/M22)</f>
        <v>0.19047619047619047</v>
      </c>
      <c r="N23" s="260">
        <f>(N19/N20+N21/N22)</f>
        <v>0.10714285714285714</v>
      </c>
      <c r="O23" s="246"/>
      <c r="P23" s="246">
        <f>(P19/P20+P21/P22)</f>
        <v>0.2119047619047619</v>
      </c>
      <c r="Q23" s="260">
        <f>(Q19/Q20+Q21/Q22)</f>
        <v>0.21428571428571427</v>
      </c>
      <c r="R23" s="260">
        <f>(R19/R20+R21/R22)</f>
        <v>0.26428571428571429</v>
      </c>
      <c r="S23" s="246"/>
      <c r="T23" s="237"/>
    </row>
    <row r="24" spans="1:20" ht="30" customHeight="1" x14ac:dyDescent="0.2">
      <c r="A24" s="268" t="s">
        <v>52</v>
      </c>
      <c r="B24" s="251" t="s">
        <v>51</v>
      </c>
      <c r="C24" s="269">
        <f t="shared" ref="C24:H24" si="11">C10*C30</f>
        <v>0.20400000000000001</v>
      </c>
      <c r="D24" s="269">
        <f t="shared" si="11"/>
        <v>0.20400000000000001</v>
      </c>
      <c r="E24" s="269">
        <f t="shared" si="11"/>
        <v>0.20400000000000001</v>
      </c>
      <c r="F24" s="269">
        <f t="shared" si="11"/>
        <v>0.20400000000000001</v>
      </c>
      <c r="G24" s="269">
        <f t="shared" si="11"/>
        <v>0.20400000000000001</v>
      </c>
      <c r="H24" s="269">
        <f t="shared" si="11"/>
        <v>0.20400000000000001</v>
      </c>
      <c r="I24" s="270"/>
      <c r="J24" s="269">
        <f t="shared" ref="J24:R24" si="12">J10*J30</f>
        <v>0.24</v>
      </c>
      <c r="K24" s="269"/>
      <c r="L24" s="271"/>
      <c r="M24" s="269">
        <f t="shared" si="12"/>
        <v>0.20400000000000001</v>
      </c>
      <c r="N24" s="269">
        <f t="shared" si="12"/>
        <v>0.20400000000000001</v>
      </c>
      <c r="O24" s="271"/>
      <c r="P24" s="271">
        <f t="shared" si="12"/>
        <v>0.36720000000000003</v>
      </c>
      <c r="Q24" s="269">
        <f t="shared" si="12"/>
        <v>0.20400000000000001</v>
      </c>
      <c r="R24" s="269">
        <f t="shared" si="12"/>
        <v>0.20400000000000001</v>
      </c>
      <c r="S24" s="271"/>
      <c r="T24" s="257"/>
    </row>
    <row r="25" spans="1:20" ht="31.5" x14ac:dyDescent="0.25">
      <c r="A25" s="268" t="s">
        <v>53</v>
      </c>
      <c r="B25" s="251" t="s">
        <v>51</v>
      </c>
      <c r="C25" s="269">
        <v>0.1</v>
      </c>
      <c r="D25" s="269">
        <v>0.1</v>
      </c>
      <c r="E25" s="269">
        <v>0.1</v>
      </c>
      <c r="F25" s="269">
        <v>0.1</v>
      </c>
      <c r="G25" s="269">
        <v>0.1</v>
      </c>
      <c r="H25" s="269">
        <v>0.1</v>
      </c>
      <c r="I25" s="253"/>
      <c r="J25" s="269">
        <v>0.1</v>
      </c>
      <c r="K25" s="269"/>
      <c r="L25" s="271"/>
      <c r="M25" s="272">
        <v>0.1</v>
      </c>
      <c r="N25" s="272">
        <v>0.1</v>
      </c>
      <c r="O25" s="273"/>
      <c r="P25" s="273">
        <v>0.1</v>
      </c>
      <c r="Q25" s="272">
        <v>0.1</v>
      </c>
      <c r="R25" s="272">
        <v>0.1</v>
      </c>
      <c r="S25" s="273"/>
      <c r="T25" s="237"/>
    </row>
    <row r="26" spans="1:20" ht="15.75" x14ac:dyDescent="0.25">
      <c r="A26" s="239" t="s">
        <v>54</v>
      </c>
      <c r="B26" s="251" t="s">
        <v>51</v>
      </c>
      <c r="C26" s="260">
        <f t="shared" ref="C26:H26" si="13">C23+C24+C25</f>
        <v>0.92899999999999994</v>
      </c>
      <c r="D26" s="260">
        <f t="shared" si="13"/>
        <v>0.88733333333333342</v>
      </c>
      <c r="E26" s="260">
        <f t="shared" si="13"/>
        <v>0.88733333333333342</v>
      </c>
      <c r="F26" s="260">
        <f t="shared" si="13"/>
        <v>1.054</v>
      </c>
      <c r="G26" s="260">
        <f t="shared" si="13"/>
        <v>0.92899999999999994</v>
      </c>
      <c r="H26" s="260">
        <f t="shared" si="13"/>
        <v>0.92899999999999994</v>
      </c>
      <c r="I26" s="253"/>
      <c r="J26" s="261">
        <f>J23+J24+J25</f>
        <v>0.78047619047619043</v>
      </c>
      <c r="K26" s="261"/>
      <c r="L26" s="247"/>
      <c r="M26" s="260">
        <f>M23+M24+M25</f>
        <v>0.49447619047619051</v>
      </c>
      <c r="N26" s="260">
        <f>N23+N24+N25</f>
        <v>0.41114285714285714</v>
      </c>
      <c r="O26" s="246"/>
      <c r="P26" s="246">
        <f>P23+P24+P25</f>
        <v>0.67910476190476188</v>
      </c>
      <c r="Q26" s="260">
        <f>Q23+Q24+Q25</f>
        <v>0.51828571428571424</v>
      </c>
      <c r="R26" s="260">
        <f>R23+R24+R25</f>
        <v>0.56828571428571428</v>
      </c>
      <c r="S26" s="246"/>
      <c r="T26" s="237"/>
    </row>
    <row r="27" spans="1:20" ht="15.75" x14ac:dyDescent="0.2">
      <c r="A27" s="274" t="s">
        <v>55</v>
      </c>
      <c r="B27" s="251" t="s">
        <v>51</v>
      </c>
      <c r="C27" s="269">
        <v>1</v>
      </c>
      <c r="D27" s="269">
        <v>1</v>
      </c>
      <c r="E27" s="269">
        <v>1</v>
      </c>
      <c r="F27" s="269">
        <v>1</v>
      </c>
      <c r="G27" s="269">
        <v>1</v>
      </c>
      <c r="H27" s="269">
        <v>1</v>
      </c>
      <c r="I27" s="253"/>
      <c r="J27" s="269">
        <v>1</v>
      </c>
      <c r="K27" s="269"/>
      <c r="L27" s="271"/>
      <c r="M27" s="269">
        <v>1</v>
      </c>
      <c r="N27" s="269">
        <v>1</v>
      </c>
      <c r="O27" s="271"/>
      <c r="P27" s="271">
        <v>14.2</v>
      </c>
      <c r="Q27" s="269">
        <v>1</v>
      </c>
      <c r="R27" s="269">
        <v>1</v>
      </c>
      <c r="S27" s="271"/>
      <c r="T27" s="257"/>
    </row>
    <row r="28" spans="1:20" ht="15.75" x14ac:dyDescent="0.25">
      <c r="A28" s="239" t="s">
        <v>54</v>
      </c>
      <c r="B28" s="251" t="s">
        <v>56</v>
      </c>
      <c r="C28" s="275">
        <f t="shared" ref="C28:H28" si="14">C26*C27</f>
        <v>0.92899999999999994</v>
      </c>
      <c r="D28" s="275">
        <f t="shared" si="14"/>
        <v>0.88733333333333342</v>
      </c>
      <c r="E28" s="275">
        <f t="shared" si="14"/>
        <v>0.88733333333333342</v>
      </c>
      <c r="F28" s="275">
        <f t="shared" si="14"/>
        <v>1.054</v>
      </c>
      <c r="G28" s="275">
        <f t="shared" si="14"/>
        <v>0.92899999999999994</v>
      </c>
      <c r="H28" s="275">
        <f t="shared" si="14"/>
        <v>0.92899999999999994</v>
      </c>
      <c r="I28" s="253"/>
      <c r="J28" s="276">
        <f>J26*J27</f>
        <v>0.78047619047619043</v>
      </c>
      <c r="K28" s="276"/>
      <c r="L28" s="277"/>
      <c r="M28" s="275">
        <f>M26*M27</f>
        <v>0.49447619047619051</v>
      </c>
      <c r="N28" s="275">
        <f>N26*N27</f>
        <v>0.41114285714285714</v>
      </c>
      <c r="O28" s="278"/>
      <c r="P28" s="278">
        <f>P26*P27</f>
        <v>9.6432876190476176</v>
      </c>
      <c r="Q28" s="275">
        <f>Q26*Q27</f>
        <v>0.51828571428571424</v>
      </c>
      <c r="R28" s="275">
        <f>R26*R27</f>
        <v>0.56828571428571428</v>
      </c>
      <c r="S28" s="278"/>
      <c r="T28" s="237"/>
    </row>
    <row r="29" spans="1:20" ht="15.75" x14ac:dyDescent="0.2">
      <c r="A29" s="268" t="s">
        <v>57</v>
      </c>
      <c r="B29" s="251" t="s">
        <v>58</v>
      </c>
      <c r="C29" s="261">
        <f>C12/C30</f>
        <v>8.7028505955739455</v>
      </c>
      <c r="D29" s="261">
        <f t="shared" ref="D29:R29" si="15">D12/D30</f>
        <v>2.7795951371624268</v>
      </c>
      <c r="E29" s="261">
        <f t="shared" si="15"/>
        <v>4.6572455987133647</v>
      </c>
      <c r="F29" s="261">
        <f t="shared" si="15"/>
        <v>14.314125542426595</v>
      </c>
      <c r="G29" s="261">
        <f t="shared" si="15"/>
        <v>4.082607963006792</v>
      </c>
      <c r="H29" s="261">
        <f t="shared" si="15"/>
        <v>6.9488731161168786</v>
      </c>
      <c r="I29" s="253"/>
      <c r="J29" s="261" t="e">
        <f t="shared" si="15"/>
        <v>#REF!</v>
      </c>
      <c r="K29" s="261"/>
      <c r="L29" s="247" t="e">
        <f>SUM(J29:K29)</f>
        <v>#REF!</v>
      </c>
      <c r="M29" s="261">
        <f t="shared" si="15"/>
        <v>57.687700921583044</v>
      </c>
      <c r="N29" s="261">
        <f t="shared" si="15"/>
        <v>31.232871243161281</v>
      </c>
      <c r="O29" s="247">
        <f>SUM(M29:N29)</f>
        <v>88.920572164744328</v>
      </c>
      <c r="P29" s="247">
        <f t="shared" si="15"/>
        <v>32.632685869000007</v>
      </c>
      <c r="Q29" s="261">
        <f t="shared" si="15"/>
        <v>20.682428466248631</v>
      </c>
      <c r="R29" s="261">
        <f t="shared" si="15"/>
        <v>36.512361714144959</v>
      </c>
      <c r="S29" s="247">
        <f>SUM(Q29:R29)</f>
        <v>57.194790180393589</v>
      </c>
      <c r="T29" s="248" t="e">
        <f>I29+L29+O29+P29+S29</f>
        <v>#REF!</v>
      </c>
    </row>
    <row r="30" spans="1:20" ht="15.75" x14ac:dyDescent="0.25">
      <c r="A30" s="250" t="s">
        <v>59</v>
      </c>
      <c r="B30" s="251" t="s">
        <v>60</v>
      </c>
      <c r="C30" s="260">
        <v>10</v>
      </c>
      <c r="D30" s="260">
        <v>10</v>
      </c>
      <c r="E30" s="260">
        <v>10</v>
      </c>
      <c r="F30" s="260">
        <v>10</v>
      </c>
      <c r="G30" s="260">
        <v>10</v>
      </c>
      <c r="H30" s="260">
        <v>10</v>
      </c>
      <c r="I30" s="267"/>
      <c r="J30" s="261">
        <v>10</v>
      </c>
      <c r="K30" s="261"/>
      <c r="L30" s="247">
        <v>10</v>
      </c>
      <c r="M30" s="260">
        <v>10</v>
      </c>
      <c r="N30" s="260">
        <v>10</v>
      </c>
      <c r="O30" s="246">
        <v>10</v>
      </c>
      <c r="P30" s="246">
        <v>18</v>
      </c>
      <c r="Q30" s="260">
        <v>10</v>
      </c>
      <c r="R30" s="260">
        <v>10</v>
      </c>
      <c r="S30" s="246">
        <v>10</v>
      </c>
      <c r="T30" s="237">
        <v>10</v>
      </c>
    </row>
    <row r="31" spans="1:20" ht="15.75" x14ac:dyDescent="0.25">
      <c r="A31" s="239" t="s">
        <v>61</v>
      </c>
      <c r="B31" s="251" t="s">
        <v>40</v>
      </c>
      <c r="C31" s="279">
        <f t="shared" ref="C31:H31" si="16">4500/1.2</f>
        <v>3750</v>
      </c>
      <c r="D31" s="279">
        <f t="shared" si="16"/>
        <v>3750</v>
      </c>
      <c r="E31" s="279">
        <f t="shared" si="16"/>
        <v>3750</v>
      </c>
      <c r="F31" s="279">
        <f t="shared" si="16"/>
        <v>3750</v>
      </c>
      <c r="G31" s="279">
        <f t="shared" si="16"/>
        <v>3750</v>
      </c>
      <c r="H31" s="279">
        <f t="shared" si="16"/>
        <v>3750</v>
      </c>
      <c r="I31" s="280"/>
      <c r="J31" s="261">
        <f>[4]гуртовка!B15/1.2</f>
        <v>3903.75</v>
      </c>
      <c r="K31" s="261"/>
      <c r="L31" s="261">
        <f>J31</f>
        <v>3903.75</v>
      </c>
      <c r="M31" s="261">
        <v>4700</v>
      </c>
      <c r="N31" s="261">
        <v>4700</v>
      </c>
      <c r="O31" s="261">
        <v>4700</v>
      </c>
      <c r="P31" s="261">
        <v>4700</v>
      </c>
      <c r="Q31" s="261">
        <v>4700</v>
      </c>
      <c r="R31" s="261">
        <v>4700</v>
      </c>
      <c r="S31" s="261">
        <v>4700</v>
      </c>
      <c r="T31" s="261">
        <v>4700</v>
      </c>
    </row>
    <row r="32" spans="1:20" ht="15.75" x14ac:dyDescent="0.25">
      <c r="A32" s="245" t="s">
        <v>62</v>
      </c>
      <c r="B32" s="257" t="s">
        <v>43</v>
      </c>
      <c r="C32" s="246">
        <f t="shared" ref="C32:H32" si="17">C18*C31/1000</f>
        <v>30.318555762330728</v>
      </c>
      <c r="D32" s="246">
        <f t="shared" si="17"/>
        <v>9.2491028189079767</v>
      </c>
      <c r="E32" s="246">
        <f t="shared" si="17"/>
        <v>15.496984729718722</v>
      </c>
      <c r="F32" s="246">
        <f t="shared" si="17"/>
        <v>56.576581206441119</v>
      </c>
      <c r="G32" s="246">
        <f t="shared" si="17"/>
        <v>14.222785491124911</v>
      </c>
      <c r="H32" s="246">
        <f t="shared" si="17"/>
        <v>24.208136718272176</v>
      </c>
      <c r="I32" s="253">
        <f>SUM(C32:H32)</f>
        <v>150.07214672679564</v>
      </c>
      <c r="J32" s="247" t="e">
        <f>J18*J31/1000</f>
        <v>#REF!</v>
      </c>
      <c r="K32" s="247"/>
      <c r="L32" s="247" t="e">
        <f>SUM(J32:K32)</f>
        <v>#REF!</v>
      </c>
      <c r="M32" s="246">
        <f>M18*M31/1000</f>
        <v>134.06841456846078</v>
      </c>
      <c r="N32" s="246">
        <f>N18*N31/1000</f>
        <v>60.353508022535053</v>
      </c>
      <c r="O32" s="246">
        <f>SUM(M32:N32)</f>
        <v>194.42192259099585</v>
      </c>
      <c r="P32" s="246">
        <f>P18*P31/1000</f>
        <v>1479.0259653989503</v>
      </c>
      <c r="Q32" s="246">
        <f>Q18*Q31/1000</f>
        <v>50.381213890726443</v>
      </c>
      <c r="R32" s="246">
        <f>R18*R31/1000</f>
        <v>97.522431717811799</v>
      </c>
      <c r="S32" s="246">
        <f>SUM(Q32:R32)</f>
        <v>147.90364560853823</v>
      </c>
      <c r="T32" s="249" t="e">
        <f>I32+L32+O32+P32+S32</f>
        <v>#REF!</v>
      </c>
    </row>
    <row r="33" spans="1:20" ht="15.75" x14ac:dyDescent="0.25">
      <c r="A33" s="265" t="s">
        <v>74</v>
      </c>
      <c r="B33" s="257" t="s">
        <v>43</v>
      </c>
      <c r="C33" s="247">
        <f t="shared" ref="C33:H33" si="18">C32+C16</f>
        <v>88.096173690723205</v>
      </c>
      <c r="D33" s="247">
        <f t="shared" si="18"/>
        <v>27.702641009287206</v>
      </c>
      <c r="E33" s="247">
        <f t="shared" si="18"/>
        <v>46.416113335465212</v>
      </c>
      <c r="F33" s="247">
        <f t="shared" si="18"/>
        <v>151.60706202268972</v>
      </c>
      <c r="G33" s="247">
        <f t="shared" si="18"/>
        <v>41.326934924413308</v>
      </c>
      <c r="H33" s="247">
        <f t="shared" si="18"/>
        <v>70.341220531071002</v>
      </c>
      <c r="I33" s="253">
        <f>SUM(C33:H33)</f>
        <v>425.49014551364962</v>
      </c>
      <c r="J33" s="247" t="e">
        <f>J32+J16</f>
        <v>#REF!</v>
      </c>
      <c r="K33" s="247"/>
      <c r="L33" s="247"/>
      <c r="M33" s="246"/>
      <c r="N33" s="246"/>
      <c r="O33" s="246"/>
      <c r="P33" s="246"/>
      <c r="Q33" s="246"/>
      <c r="R33" s="246"/>
      <c r="S33" s="246"/>
      <c r="T33" s="249"/>
    </row>
    <row r="34" spans="1:20" ht="15.75" x14ac:dyDescent="0.2">
      <c r="A34" s="581" t="s">
        <v>64</v>
      </c>
      <c r="B34" s="582"/>
      <c r="C34" s="582"/>
      <c r="D34" s="582"/>
      <c r="E34" s="582"/>
      <c r="F34" s="582"/>
      <c r="G34" s="582"/>
      <c r="H34" s="582"/>
      <c r="I34" s="582"/>
      <c r="J34" s="582"/>
      <c r="K34" s="582"/>
      <c r="L34" s="582"/>
      <c r="M34" s="582"/>
      <c r="N34" s="582"/>
      <c r="O34" s="582"/>
      <c r="P34" s="582"/>
      <c r="Q34" s="582"/>
      <c r="R34" s="582"/>
      <c r="S34" s="582"/>
      <c r="T34" s="582"/>
    </row>
    <row r="35" spans="1:20" ht="15.75" x14ac:dyDescent="0.25">
      <c r="A35" s="268" t="s">
        <v>75</v>
      </c>
      <c r="B35" s="281" t="s">
        <v>33</v>
      </c>
      <c r="C35" s="251">
        <v>2.1999999999999999E-2</v>
      </c>
      <c r="D35" s="251">
        <v>2.1999999999999999E-2</v>
      </c>
      <c r="E35" s="251">
        <v>2.1999999999999999E-2</v>
      </c>
      <c r="F35" s="251">
        <v>2.1999999999999999E-2</v>
      </c>
      <c r="G35" s="251">
        <v>2.1999999999999999E-2</v>
      </c>
      <c r="H35" s="251">
        <v>2.1999999999999999E-2</v>
      </c>
      <c r="I35" s="253"/>
      <c r="J35" s="251">
        <f>[4]гуртовка!B12</f>
        <v>1910</v>
      </c>
      <c r="K35" s="259"/>
      <c r="L35" s="237"/>
      <c r="M35" s="246"/>
      <c r="N35" s="246"/>
      <c r="O35" s="246"/>
      <c r="P35" s="246"/>
      <c r="Q35" s="246"/>
      <c r="R35" s="246"/>
      <c r="S35" s="246"/>
      <c r="T35" s="249"/>
    </row>
    <row r="36" spans="1:20" ht="42" customHeight="1" x14ac:dyDescent="0.25">
      <c r="A36" s="265" t="s">
        <v>66</v>
      </c>
      <c r="B36" s="282" t="s">
        <v>67</v>
      </c>
      <c r="C36" s="247">
        <f t="shared" ref="C36:H36" si="19">C4*C35</f>
        <v>0</v>
      </c>
      <c r="D36" s="247">
        <f t="shared" si="19"/>
        <v>0</v>
      </c>
      <c r="E36" s="247">
        <f t="shared" si="19"/>
        <v>0</v>
      </c>
      <c r="F36" s="247">
        <f t="shared" si="19"/>
        <v>0</v>
      </c>
      <c r="G36" s="247">
        <f t="shared" si="19"/>
        <v>0</v>
      </c>
      <c r="H36" s="247">
        <f t="shared" si="19"/>
        <v>0</v>
      </c>
      <c r="I36" s="253">
        <f>SUM(C36:H36)</f>
        <v>0</v>
      </c>
      <c r="J36" s="247">
        <f>[4]гуртовка!E5/1.2+[4]гуртовка!H5/1.2</f>
        <v>434.61750000000001</v>
      </c>
      <c r="K36" s="246"/>
      <c r="L36" s="246"/>
      <c r="M36" s="246"/>
      <c r="N36" s="246"/>
      <c r="O36" s="246"/>
      <c r="P36" s="246"/>
      <c r="Q36" s="246"/>
      <c r="R36" s="246"/>
      <c r="S36" s="246"/>
      <c r="T36" s="249"/>
    </row>
    <row r="37" spans="1:20" ht="15.75" x14ac:dyDescent="0.25">
      <c r="A37" s="245" t="s">
        <v>62</v>
      </c>
      <c r="B37" s="282" t="s">
        <v>43</v>
      </c>
      <c r="C37" s="247" t="e">
        <f>C36*#REF!/1000</f>
        <v>#REF!</v>
      </c>
      <c r="D37" s="247" t="e">
        <f>D36*#REF!/1000</f>
        <v>#REF!</v>
      </c>
      <c r="E37" s="247" t="e">
        <f>E36*#REF!/1000</f>
        <v>#REF!</v>
      </c>
      <c r="F37" s="247" t="e">
        <f>F36*#REF!/1000</f>
        <v>#REF!</v>
      </c>
      <c r="G37" s="247" t="e">
        <f>G36*#REF!/1000</f>
        <v>#REF!</v>
      </c>
      <c r="H37" s="247" t="e">
        <f>H36*#REF!/1000</f>
        <v>#REF!</v>
      </c>
      <c r="I37" s="253" t="e">
        <f>SUM(C37:H37)</f>
        <v>#REF!</v>
      </c>
      <c r="J37" s="247">
        <f>J35*J36/1000</f>
        <v>830.11942500000009</v>
      </c>
      <c r="K37" s="246"/>
      <c r="L37" s="246">
        <f>J37</f>
        <v>830.11942500000009</v>
      </c>
      <c r="M37" s="246"/>
      <c r="N37" s="246"/>
      <c r="O37" s="246"/>
      <c r="P37" s="246"/>
      <c r="Q37" s="246"/>
      <c r="R37" s="246"/>
      <c r="S37" s="246"/>
      <c r="T37" s="249"/>
    </row>
    <row r="38" spans="1:20" ht="15.75" x14ac:dyDescent="0.25">
      <c r="A38" s="580" t="s">
        <v>69</v>
      </c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580"/>
      <c r="S38" s="580"/>
      <c r="T38" s="580"/>
    </row>
    <row r="39" spans="1:20" ht="31.5" x14ac:dyDescent="0.25">
      <c r="A39" s="268" t="s">
        <v>70</v>
      </c>
      <c r="B39" s="281" t="s">
        <v>31</v>
      </c>
      <c r="C39" s="251">
        <v>2.1999999999999999E-2</v>
      </c>
      <c r="D39" s="251">
        <v>2.1999999999999999E-2</v>
      </c>
      <c r="E39" s="251">
        <v>2.1999999999999999E-2</v>
      </c>
      <c r="F39" s="251">
        <v>2.1999999999999999E-2</v>
      </c>
      <c r="G39" s="251">
        <v>2.1999999999999999E-2</v>
      </c>
      <c r="H39" s="251">
        <v>2.1999999999999999E-2</v>
      </c>
      <c r="I39" s="253"/>
      <c r="J39" s="259">
        <v>2.1999999999999999E-2</v>
      </c>
      <c r="K39" s="259"/>
      <c r="L39" s="237">
        <v>2.1999999999999999E-2</v>
      </c>
      <c r="M39" s="251">
        <v>2.1999999999999999E-2</v>
      </c>
      <c r="N39" s="251">
        <v>2.1999999999999999E-2</v>
      </c>
      <c r="O39" s="257">
        <v>2.1999999999999999E-2</v>
      </c>
      <c r="P39" s="257">
        <v>2.1999999999999999E-2</v>
      </c>
      <c r="Q39" s="251">
        <v>2.1999999999999999E-2</v>
      </c>
      <c r="R39" s="251">
        <v>2.1999999999999999E-2</v>
      </c>
      <c r="S39" s="257">
        <v>2.1999999999999999E-2</v>
      </c>
      <c r="T39" s="257">
        <f>S39</f>
        <v>2.1999999999999999E-2</v>
      </c>
    </row>
    <row r="40" spans="1:20" ht="15.75" x14ac:dyDescent="0.25">
      <c r="A40" s="245" t="s">
        <v>54</v>
      </c>
      <c r="B40" s="238" t="s">
        <v>51</v>
      </c>
      <c r="C40" s="246">
        <f t="shared" ref="C40:H40" si="20">C9*C39</f>
        <v>14.842070783149362</v>
      </c>
      <c r="D40" s="246">
        <f t="shared" si="20"/>
        <v>4.7403948075638276</v>
      </c>
      <c r="E40" s="246">
        <f t="shared" si="20"/>
        <v>7.9425893931545737</v>
      </c>
      <c r="F40" s="246">
        <f t="shared" si="20"/>
        <v>24.411686971580238</v>
      </c>
      <c r="G40" s="246">
        <f t="shared" si="20"/>
        <v>6.9625872237325135</v>
      </c>
      <c r="H40" s="246">
        <f t="shared" si="20"/>
        <v>11.850791360819484</v>
      </c>
      <c r="I40" s="253">
        <f>SUM(C40:H40)</f>
        <v>70.750120539999998</v>
      </c>
      <c r="J40" s="246" t="e">
        <f>J9*J39</f>
        <v>#REF!</v>
      </c>
      <c r="K40" s="246"/>
      <c r="L40" s="246" t="e">
        <f>SUM(J40:K40)</f>
        <v>#REF!</v>
      </c>
      <c r="M40" s="246">
        <f>M9*M39</f>
        <v>70.507190015268165</v>
      </c>
      <c r="N40" s="246">
        <f>N9*N39</f>
        <v>38.173509297197121</v>
      </c>
      <c r="O40" s="246">
        <f>SUM(M40:N40)</f>
        <v>108.68069931246529</v>
      </c>
      <c r="P40" s="246">
        <f>P9*P39</f>
        <v>71.791908911799993</v>
      </c>
      <c r="Q40" s="246">
        <f>Q9*Q39</f>
        <v>25.278523680970547</v>
      </c>
      <c r="R40" s="246">
        <f>R9*R39</f>
        <v>44.626219872843834</v>
      </c>
      <c r="S40" s="246">
        <f>SUM(Q40:R40)</f>
        <v>69.904743553814384</v>
      </c>
      <c r="T40" s="249" t="e">
        <f>I40+L40+O40+P40+S40</f>
        <v>#REF!</v>
      </c>
    </row>
    <row r="41" spans="1:20" ht="15.75" x14ac:dyDescent="0.25">
      <c r="A41" s="268" t="s">
        <v>61</v>
      </c>
      <c r="B41" s="281" t="s">
        <v>40</v>
      </c>
      <c r="C41" s="279">
        <f t="shared" ref="C41:H41" si="21">5500/1.2</f>
        <v>4583.3333333333339</v>
      </c>
      <c r="D41" s="279">
        <f t="shared" si="21"/>
        <v>4583.3333333333339</v>
      </c>
      <c r="E41" s="279">
        <f t="shared" si="21"/>
        <v>4583.3333333333339</v>
      </c>
      <c r="F41" s="279">
        <f t="shared" si="21"/>
        <v>4583.3333333333339</v>
      </c>
      <c r="G41" s="279">
        <f t="shared" si="21"/>
        <v>4583.3333333333339</v>
      </c>
      <c r="H41" s="279">
        <f t="shared" si="21"/>
        <v>4583.3333333333339</v>
      </c>
      <c r="I41" s="261"/>
      <c r="J41" s="260">
        <f>[4]гуртовка!B14/1.2</f>
        <v>4771.25</v>
      </c>
      <c r="K41" s="260"/>
      <c r="L41" s="260">
        <f>J41</f>
        <v>4771.25</v>
      </c>
      <c r="M41" s="261">
        <v>5400</v>
      </c>
      <c r="N41" s="261">
        <v>5400</v>
      </c>
      <c r="O41" s="261">
        <v>5400</v>
      </c>
      <c r="P41" s="261">
        <v>5400</v>
      </c>
      <c r="Q41" s="261">
        <v>5400</v>
      </c>
      <c r="R41" s="261">
        <v>5400</v>
      </c>
      <c r="S41" s="261">
        <v>5400</v>
      </c>
      <c r="T41" s="261">
        <v>5400</v>
      </c>
    </row>
    <row r="42" spans="1:20" ht="15.75" x14ac:dyDescent="0.25">
      <c r="A42" s="245" t="s">
        <v>62</v>
      </c>
      <c r="B42" s="238" t="s">
        <v>43</v>
      </c>
      <c r="C42" s="246">
        <f t="shared" ref="C42:H42" si="22">C40*C41/1000</f>
        <v>68.026157756101256</v>
      </c>
      <c r="D42" s="246">
        <f t="shared" si="22"/>
        <v>21.726809534667549</v>
      </c>
      <c r="E42" s="246">
        <f t="shared" si="22"/>
        <v>36.403534718625131</v>
      </c>
      <c r="F42" s="246">
        <f t="shared" si="22"/>
        <v>111.88689861974277</v>
      </c>
      <c r="G42" s="246">
        <f t="shared" si="22"/>
        <v>31.911858108774023</v>
      </c>
      <c r="H42" s="246">
        <f t="shared" si="22"/>
        <v>54.316127070422638</v>
      </c>
      <c r="I42" s="253">
        <f>SUM(C42:H42)</f>
        <v>324.27138580833332</v>
      </c>
      <c r="J42" s="246" t="e">
        <f>J40*J41/1000</f>
        <v>#REF!</v>
      </c>
      <c r="K42" s="246"/>
      <c r="L42" s="246" t="e">
        <f>SUM(J42:K42)</f>
        <v>#REF!</v>
      </c>
      <c r="M42" s="246">
        <f>M40*M41/1000</f>
        <v>380.73882608244804</v>
      </c>
      <c r="N42" s="246">
        <f>N40*N41/1000</f>
        <v>206.13695020486446</v>
      </c>
      <c r="O42" s="246">
        <f>SUM(M42:N42)</f>
        <v>586.87577628731253</v>
      </c>
      <c r="P42" s="246">
        <f>P40*P41/1000</f>
        <v>387.67630812371993</v>
      </c>
      <c r="Q42" s="246">
        <f>Q40*Q41/1000</f>
        <v>136.50402787724096</v>
      </c>
      <c r="R42" s="246">
        <f>R40*R41/1000</f>
        <v>240.9815873133567</v>
      </c>
      <c r="S42" s="246">
        <f>SUM(Q42:R42)</f>
        <v>377.48561519059763</v>
      </c>
      <c r="T42" s="249" t="e">
        <f>I42+L42+O42+P42+S42</f>
        <v>#REF!</v>
      </c>
    </row>
    <row r="43" spans="1:20" ht="15.75" x14ac:dyDescent="0.25">
      <c r="A43" s="245" t="s">
        <v>76</v>
      </c>
      <c r="B43" s="238" t="s">
        <v>77</v>
      </c>
      <c r="C43" s="246" t="e">
        <f>C33+#REF!</f>
        <v>#REF!</v>
      </c>
      <c r="D43" s="246" t="e">
        <f>D33+#REF!</f>
        <v>#REF!</v>
      </c>
      <c r="E43" s="246" t="e">
        <f>E33+#REF!</f>
        <v>#REF!</v>
      </c>
      <c r="F43" s="246" t="e">
        <f>F33+#REF!</f>
        <v>#REF!</v>
      </c>
      <c r="G43" s="246" t="e">
        <f>G33+#REF!</f>
        <v>#REF!</v>
      </c>
      <c r="H43" s="246" t="e">
        <f>H33+#REF!</f>
        <v>#REF!</v>
      </c>
      <c r="I43" s="255" t="e">
        <f>SUM(C43:H43)</f>
        <v>#REF!</v>
      </c>
      <c r="J43" s="247" t="e">
        <f>J16+J32+J42+J37</f>
        <v>#REF!</v>
      </c>
      <c r="K43" s="247">
        <f>K16+K32+K42</f>
        <v>0</v>
      </c>
      <c r="L43" s="247" t="e">
        <f>L16+L32+L42+L37</f>
        <v>#REF!</v>
      </c>
      <c r="M43" s="246" t="e">
        <f>M16+M32+#REF!</f>
        <v>#REF!</v>
      </c>
      <c r="N43" s="246" t="e">
        <f>N16+N32+#REF!</f>
        <v>#REF!</v>
      </c>
      <c r="O43" s="246" t="e">
        <f>O16+O32+#REF!</f>
        <v>#REF!</v>
      </c>
      <c r="P43" s="246" t="e">
        <f>P16+P32+#REF!</f>
        <v>#REF!</v>
      </c>
      <c r="Q43" s="246" t="e">
        <f>Q16+Q32+#REF!</f>
        <v>#REF!</v>
      </c>
      <c r="R43" s="246" t="e">
        <f>R16+R32+#REF!</f>
        <v>#REF!</v>
      </c>
      <c r="S43" s="246" t="e">
        <f>S16+S32+#REF!</f>
        <v>#REF!</v>
      </c>
      <c r="T43" s="246" t="e">
        <f>T16+T32+#REF!</f>
        <v>#REF!</v>
      </c>
    </row>
  </sheetData>
  <customSheetViews>
    <customSheetView guid="{4F83E3D9-05C9-45DD-BE29-5010E4EF885C}" scale="60" showPageBreaks="1" printArea="1" hiddenRows="1" hiddenColumns="1" state="hidden" view="pageBreakPreview">
      <selection activeCell="C9" sqref="C9"/>
      <pageMargins left="1.299212598425197" right="0.70866141732283472" top="0.74803149606299213" bottom="0.74803149606299213" header="0.31496062992125984" footer="0.31496062992125984"/>
      <pageSetup paperSize="9" scale="95" orientation="portrait" r:id="rId1"/>
    </customSheetView>
    <customSheetView guid="{E3DB1A70-74DD-44C5-A9A7-0FA1388C0D1F}" scale="60" showPageBreaks="1" printArea="1" hiddenRows="1" hiddenColumns="1" state="hidden" view="pageBreakPreview">
      <selection activeCell="C9" sqref="C9"/>
      <pageMargins left="1.299212598425197" right="0.70866141732283472" top="0.74803149606299213" bottom="0.74803149606299213" header="0.31496062992125984" footer="0.31496062992125984"/>
      <pageSetup paperSize="9" scale="95" orientation="portrait" r:id="rId2"/>
    </customSheetView>
  </customSheetViews>
  <mergeCells count="9">
    <mergeCell ref="A17:T17"/>
    <mergeCell ref="A34:T34"/>
    <mergeCell ref="A38:T38"/>
    <mergeCell ref="A1:T1"/>
    <mergeCell ref="B4:I4"/>
    <mergeCell ref="J4:L4"/>
    <mergeCell ref="M4:O4"/>
    <mergeCell ref="Q4:S4"/>
    <mergeCell ref="A6:I6"/>
  </mergeCells>
  <pageMargins left="1.299212598425197" right="0.70866141732283472" top="0.74803149606299213" bottom="0.74803149606299213" header="0.31496062992125984" footer="0.31496062992125984"/>
  <pageSetup paperSize="9" scale="95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WB41"/>
  <sheetViews>
    <sheetView view="pageBreakPreview" topLeftCell="A4" zoomScale="60" zoomScaleNormal="100" workbookViewId="0">
      <selection activeCell="C9" sqref="C9"/>
    </sheetView>
  </sheetViews>
  <sheetFormatPr defaultRowHeight="12.75" x14ac:dyDescent="0.2"/>
  <cols>
    <col min="1" max="1" width="28.7109375" style="230" customWidth="1"/>
    <col min="2" max="2" width="9.42578125" style="230" hidden="1" customWidth="1"/>
    <col min="3" max="8" width="9.140625" style="230" hidden="1" customWidth="1"/>
    <col min="9" max="9" width="10.42578125" style="230" hidden="1" customWidth="1"/>
    <col min="10" max="12" width="8.85546875" style="230" hidden="1" customWidth="1"/>
    <col min="13" max="13" width="12.7109375" style="230" customWidth="1"/>
    <col min="14" max="14" width="14.140625" style="230" customWidth="1"/>
    <col min="15" max="15" width="12.7109375" style="230" customWidth="1"/>
    <col min="16" max="19" width="8.85546875" style="230" hidden="1" customWidth="1"/>
    <col min="20" max="20" width="11.28515625" style="230" hidden="1" customWidth="1"/>
    <col min="21" max="256" width="9.140625" style="230"/>
    <col min="257" max="257" width="28.7109375" style="230" customWidth="1"/>
    <col min="258" max="268" width="9.140625" style="230" hidden="1" customWidth="1"/>
    <col min="269" max="269" width="12.7109375" style="230" customWidth="1"/>
    <col min="270" max="270" width="14.140625" style="230" customWidth="1"/>
    <col min="271" max="271" width="12.7109375" style="230" customWidth="1"/>
    <col min="272" max="276" width="9.140625" style="230" hidden="1" customWidth="1"/>
    <col min="277" max="512" width="9.140625" style="230"/>
    <col min="513" max="513" width="28.7109375" style="230" customWidth="1"/>
    <col min="514" max="524" width="9.140625" style="230" hidden="1" customWidth="1"/>
    <col min="525" max="525" width="12.7109375" style="230" customWidth="1"/>
    <col min="526" max="526" width="14.140625" style="230" customWidth="1"/>
    <col min="527" max="527" width="12.7109375" style="230" customWidth="1"/>
    <col min="528" max="532" width="9.140625" style="230" hidden="1" customWidth="1"/>
    <col min="533" max="768" width="9.140625" style="230"/>
    <col min="769" max="769" width="28.7109375" style="230" customWidth="1"/>
    <col min="770" max="780" width="9.140625" style="230" hidden="1" customWidth="1"/>
    <col min="781" max="781" width="12.7109375" style="230" customWidth="1"/>
    <col min="782" max="782" width="14.140625" style="230" customWidth="1"/>
    <col min="783" max="783" width="12.7109375" style="230" customWidth="1"/>
    <col min="784" max="788" width="9.140625" style="230" hidden="1" customWidth="1"/>
    <col min="789" max="1024" width="9.140625" style="230"/>
    <col min="1025" max="1025" width="28.7109375" style="230" customWidth="1"/>
    <col min="1026" max="1036" width="9.140625" style="230" hidden="1" customWidth="1"/>
    <col min="1037" max="1037" width="12.7109375" style="230" customWidth="1"/>
    <col min="1038" max="1038" width="14.140625" style="230" customWidth="1"/>
    <col min="1039" max="1039" width="12.7109375" style="230" customWidth="1"/>
    <col min="1040" max="1044" width="9.140625" style="230" hidden="1" customWidth="1"/>
    <col min="1045" max="1280" width="9.140625" style="230"/>
    <col min="1281" max="1281" width="28.7109375" style="230" customWidth="1"/>
    <col min="1282" max="1292" width="9.140625" style="230" hidden="1" customWidth="1"/>
    <col min="1293" max="1293" width="12.7109375" style="230" customWidth="1"/>
    <col min="1294" max="1294" width="14.140625" style="230" customWidth="1"/>
    <col min="1295" max="1295" width="12.7109375" style="230" customWidth="1"/>
    <col min="1296" max="1300" width="9.140625" style="230" hidden="1" customWidth="1"/>
    <col min="1301" max="1536" width="9.140625" style="230"/>
    <col min="1537" max="1537" width="28.7109375" style="230" customWidth="1"/>
    <col min="1538" max="1548" width="9.140625" style="230" hidden="1" customWidth="1"/>
    <col min="1549" max="1549" width="12.7109375" style="230" customWidth="1"/>
    <col min="1550" max="1550" width="14.140625" style="230" customWidth="1"/>
    <col min="1551" max="1551" width="12.7109375" style="230" customWidth="1"/>
    <col min="1552" max="1556" width="9.140625" style="230" hidden="1" customWidth="1"/>
    <col min="1557" max="1792" width="9.140625" style="230"/>
    <col min="1793" max="1793" width="28.7109375" style="230" customWidth="1"/>
    <col min="1794" max="1804" width="9.140625" style="230" hidden="1" customWidth="1"/>
    <col min="1805" max="1805" width="12.7109375" style="230" customWidth="1"/>
    <col min="1806" max="1806" width="14.140625" style="230" customWidth="1"/>
    <col min="1807" max="1807" width="12.7109375" style="230" customWidth="1"/>
    <col min="1808" max="1812" width="9.140625" style="230" hidden="1" customWidth="1"/>
    <col min="1813" max="2048" width="9.140625" style="230"/>
    <col min="2049" max="2049" width="28.7109375" style="230" customWidth="1"/>
    <col min="2050" max="2060" width="9.140625" style="230" hidden="1" customWidth="1"/>
    <col min="2061" max="2061" width="12.7109375" style="230" customWidth="1"/>
    <col min="2062" max="2062" width="14.140625" style="230" customWidth="1"/>
    <col min="2063" max="2063" width="12.7109375" style="230" customWidth="1"/>
    <col min="2064" max="2068" width="9.140625" style="230" hidden="1" customWidth="1"/>
    <col min="2069" max="2304" width="9.140625" style="230"/>
    <col min="2305" max="2305" width="28.7109375" style="230" customWidth="1"/>
    <col min="2306" max="2316" width="9.140625" style="230" hidden="1" customWidth="1"/>
    <col min="2317" max="2317" width="12.7109375" style="230" customWidth="1"/>
    <col min="2318" max="2318" width="14.140625" style="230" customWidth="1"/>
    <col min="2319" max="2319" width="12.7109375" style="230" customWidth="1"/>
    <col min="2320" max="2324" width="9.140625" style="230" hidden="1" customWidth="1"/>
    <col min="2325" max="2560" width="9.140625" style="230"/>
    <col min="2561" max="2561" width="28.7109375" style="230" customWidth="1"/>
    <col min="2562" max="2572" width="9.140625" style="230" hidden="1" customWidth="1"/>
    <col min="2573" max="2573" width="12.7109375" style="230" customWidth="1"/>
    <col min="2574" max="2574" width="14.140625" style="230" customWidth="1"/>
    <col min="2575" max="2575" width="12.7109375" style="230" customWidth="1"/>
    <col min="2576" max="2580" width="9.140625" style="230" hidden="1" customWidth="1"/>
    <col min="2581" max="2816" width="9.140625" style="230"/>
    <col min="2817" max="2817" width="28.7109375" style="230" customWidth="1"/>
    <col min="2818" max="2828" width="9.140625" style="230" hidden="1" customWidth="1"/>
    <col min="2829" max="2829" width="12.7109375" style="230" customWidth="1"/>
    <col min="2830" max="2830" width="14.140625" style="230" customWidth="1"/>
    <col min="2831" max="2831" width="12.7109375" style="230" customWidth="1"/>
    <col min="2832" max="2836" width="9.140625" style="230" hidden="1" customWidth="1"/>
    <col min="2837" max="3072" width="9.140625" style="230"/>
    <col min="3073" max="3073" width="28.7109375" style="230" customWidth="1"/>
    <col min="3074" max="3084" width="9.140625" style="230" hidden="1" customWidth="1"/>
    <col min="3085" max="3085" width="12.7109375" style="230" customWidth="1"/>
    <col min="3086" max="3086" width="14.140625" style="230" customWidth="1"/>
    <col min="3087" max="3087" width="12.7109375" style="230" customWidth="1"/>
    <col min="3088" max="3092" width="9.140625" style="230" hidden="1" customWidth="1"/>
    <col min="3093" max="3328" width="9.140625" style="230"/>
    <col min="3329" max="3329" width="28.7109375" style="230" customWidth="1"/>
    <col min="3330" max="3340" width="9.140625" style="230" hidden="1" customWidth="1"/>
    <col min="3341" max="3341" width="12.7109375" style="230" customWidth="1"/>
    <col min="3342" max="3342" width="14.140625" style="230" customWidth="1"/>
    <col min="3343" max="3343" width="12.7109375" style="230" customWidth="1"/>
    <col min="3344" max="3348" width="9.140625" style="230" hidden="1" customWidth="1"/>
    <col min="3349" max="3584" width="9.140625" style="230"/>
    <col min="3585" max="3585" width="28.7109375" style="230" customWidth="1"/>
    <col min="3586" max="3596" width="9.140625" style="230" hidden="1" customWidth="1"/>
    <col min="3597" max="3597" width="12.7109375" style="230" customWidth="1"/>
    <col min="3598" max="3598" width="14.140625" style="230" customWidth="1"/>
    <col min="3599" max="3599" width="12.7109375" style="230" customWidth="1"/>
    <col min="3600" max="3604" width="9.140625" style="230" hidden="1" customWidth="1"/>
    <col min="3605" max="3840" width="9.140625" style="230"/>
    <col min="3841" max="3841" width="28.7109375" style="230" customWidth="1"/>
    <col min="3842" max="3852" width="9.140625" style="230" hidden="1" customWidth="1"/>
    <col min="3853" max="3853" width="12.7109375" style="230" customWidth="1"/>
    <col min="3854" max="3854" width="14.140625" style="230" customWidth="1"/>
    <col min="3855" max="3855" width="12.7109375" style="230" customWidth="1"/>
    <col min="3856" max="3860" width="9.140625" style="230" hidden="1" customWidth="1"/>
    <col min="3861" max="4096" width="9.140625" style="230"/>
    <col min="4097" max="4097" width="28.7109375" style="230" customWidth="1"/>
    <col min="4098" max="4108" width="9.140625" style="230" hidden="1" customWidth="1"/>
    <col min="4109" max="4109" width="12.7109375" style="230" customWidth="1"/>
    <col min="4110" max="4110" width="14.140625" style="230" customWidth="1"/>
    <col min="4111" max="4111" width="12.7109375" style="230" customWidth="1"/>
    <col min="4112" max="4116" width="9.140625" style="230" hidden="1" customWidth="1"/>
    <col min="4117" max="4352" width="9.140625" style="230"/>
    <col min="4353" max="4353" width="28.7109375" style="230" customWidth="1"/>
    <col min="4354" max="4364" width="9.140625" style="230" hidden="1" customWidth="1"/>
    <col min="4365" max="4365" width="12.7109375" style="230" customWidth="1"/>
    <col min="4366" max="4366" width="14.140625" style="230" customWidth="1"/>
    <col min="4367" max="4367" width="12.7109375" style="230" customWidth="1"/>
    <col min="4368" max="4372" width="9.140625" style="230" hidden="1" customWidth="1"/>
    <col min="4373" max="4608" width="9.140625" style="230"/>
    <col min="4609" max="4609" width="28.7109375" style="230" customWidth="1"/>
    <col min="4610" max="4620" width="9.140625" style="230" hidden="1" customWidth="1"/>
    <col min="4621" max="4621" width="12.7109375" style="230" customWidth="1"/>
    <col min="4622" max="4622" width="14.140625" style="230" customWidth="1"/>
    <col min="4623" max="4623" width="12.7109375" style="230" customWidth="1"/>
    <col min="4624" max="4628" width="9.140625" style="230" hidden="1" customWidth="1"/>
    <col min="4629" max="4864" width="9.140625" style="230"/>
    <col min="4865" max="4865" width="28.7109375" style="230" customWidth="1"/>
    <col min="4866" max="4876" width="9.140625" style="230" hidden="1" customWidth="1"/>
    <col min="4877" max="4877" width="12.7109375" style="230" customWidth="1"/>
    <col min="4878" max="4878" width="14.140625" style="230" customWidth="1"/>
    <col min="4879" max="4879" width="12.7109375" style="230" customWidth="1"/>
    <col min="4880" max="4884" width="9.140625" style="230" hidden="1" customWidth="1"/>
    <col min="4885" max="5120" width="9.140625" style="230"/>
    <col min="5121" max="5121" width="28.7109375" style="230" customWidth="1"/>
    <col min="5122" max="5132" width="9.140625" style="230" hidden="1" customWidth="1"/>
    <col min="5133" max="5133" width="12.7109375" style="230" customWidth="1"/>
    <col min="5134" max="5134" width="14.140625" style="230" customWidth="1"/>
    <col min="5135" max="5135" width="12.7109375" style="230" customWidth="1"/>
    <col min="5136" max="5140" width="9.140625" style="230" hidden="1" customWidth="1"/>
    <col min="5141" max="5376" width="9.140625" style="230"/>
    <col min="5377" max="5377" width="28.7109375" style="230" customWidth="1"/>
    <col min="5378" max="5388" width="9.140625" style="230" hidden="1" customWidth="1"/>
    <col min="5389" max="5389" width="12.7109375" style="230" customWidth="1"/>
    <col min="5390" max="5390" width="14.140625" style="230" customWidth="1"/>
    <col min="5391" max="5391" width="12.7109375" style="230" customWidth="1"/>
    <col min="5392" max="5396" width="9.140625" style="230" hidden="1" customWidth="1"/>
    <col min="5397" max="5632" width="9.140625" style="230"/>
    <col min="5633" max="5633" width="28.7109375" style="230" customWidth="1"/>
    <col min="5634" max="5644" width="9.140625" style="230" hidden="1" customWidth="1"/>
    <col min="5645" max="5645" width="12.7109375" style="230" customWidth="1"/>
    <col min="5646" max="5646" width="14.140625" style="230" customWidth="1"/>
    <col min="5647" max="5647" width="12.7109375" style="230" customWidth="1"/>
    <col min="5648" max="5652" width="9.140625" style="230" hidden="1" customWidth="1"/>
    <col min="5653" max="5888" width="9.140625" style="230"/>
    <col min="5889" max="5889" width="28.7109375" style="230" customWidth="1"/>
    <col min="5890" max="5900" width="9.140625" style="230" hidden="1" customWidth="1"/>
    <col min="5901" max="5901" width="12.7109375" style="230" customWidth="1"/>
    <col min="5902" max="5902" width="14.140625" style="230" customWidth="1"/>
    <col min="5903" max="5903" width="12.7109375" style="230" customWidth="1"/>
    <col min="5904" max="5908" width="9.140625" style="230" hidden="1" customWidth="1"/>
    <col min="5909" max="6144" width="9.140625" style="230"/>
    <col min="6145" max="6145" width="28.7109375" style="230" customWidth="1"/>
    <col min="6146" max="6156" width="9.140625" style="230" hidden="1" customWidth="1"/>
    <col min="6157" max="6157" width="12.7109375" style="230" customWidth="1"/>
    <col min="6158" max="6158" width="14.140625" style="230" customWidth="1"/>
    <col min="6159" max="6159" width="12.7109375" style="230" customWidth="1"/>
    <col min="6160" max="6164" width="9.140625" style="230" hidden="1" customWidth="1"/>
    <col min="6165" max="6400" width="9.140625" style="230"/>
    <col min="6401" max="6401" width="28.7109375" style="230" customWidth="1"/>
    <col min="6402" max="6412" width="9.140625" style="230" hidden="1" customWidth="1"/>
    <col min="6413" max="6413" width="12.7109375" style="230" customWidth="1"/>
    <col min="6414" max="6414" width="14.140625" style="230" customWidth="1"/>
    <col min="6415" max="6415" width="12.7109375" style="230" customWidth="1"/>
    <col min="6416" max="6420" width="9.140625" style="230" hidden="1" customWidth="1"/>
    <col min="6421" max="6656" width="9.140625" style="230"/>
    <col min="6657" max="6657" width="28.7109375" style="230" customWidth="1"/>
    <col min="6658" max="6668" width="9.140625" style="230" hidden="1" customWidth="1"/>
    <col min="6669" max="6669" width="12.7109375" style="230" customWidth="1"/>
    <col min="6670" max="6670" width="14.140625" style="230" customWidth="1"/>
    <col min="6671" max="6671" width="12.7109375" style="230" customWidth="1"/>
    <col min="6672" max="6676" width="9.140625" style="230" hidden="1" customWidth="1"/>
    <col min="6677" max="6912" width="9.140625" style="230"/>
    <col min="6913" max="6913" width="28.7109375" style="230" customWidth="1"/>
    <col min="6914" max="6924" width="9.140625" style="230" hidden="1" customWidth="1"/>
    <col min="6925" max="6925" width="12.7109375" style="230" customWidth="1"/>
    <col min="6926" max="6926" width="14.140625" style="230" customWidth="1"/>
    <col min="6927" max="6927" width="12.7109375" style="230" customWidth="1"/>
    <col min="6928" max="6932" width="9.140625" style="230" hidden="1" customWidth="1"/>
    <col min="6933" max="7168" width="9.140625" style="230"/>
    <col min="7169" max="7169" width="28.7109375" style="230" customWidth="1"/>
    <col min="7170" max="7180" width="9.140625" style="230" hidden="1" customWidth="1"/>
    <col min="7181" max="7181" width="12.7109375" style="230" customWidth="1"/>
    <col min="7182" max="7182" width="14.140625" style="230" customWidth="1"/>
    <col min="7183" max="7183" width="12.7109375" style="230" customWidth="1"/>
    <col min="7184" max="7188" width="9.140625" style="230" hidden="1" customWidth="1"/>
    <col min="7189" max="7424" width="9.140625" style="230"/>
    <col min="7425" max="7425" width="28.7109375" style="230" customWidth="1"/>
    <col min="7426" max="7436" width="9.140625" style="230" hidden="1" customWidth="1"/>
    <col min="7437" max="7437" width="12.7109375" style="230" customWidth="1"/>
    <col min="7438" max="7438" width="14.140625" style="230" customWidth="1"/>
    <col min="7439" max="7439" width="12.7109375" style="230" customWidth="1"/>
    <col min="7440" max="7444" width="9.140625" style="230" hidden="1" customWidth="1"/>
    <col min="7445" max="7680" width="9.140625" style="230"/>
    <col min="7681" max="7681" width="28.7109375" style="230" customWidth="1"/>
    <col min="7682" max="7692" width="9.140625" style="230" hidden="1" customWidth="1"/>
    <col min="7693" max="7693" width="12.7109375" style="230" customWidth="1"/>
    <col min="7694" max="7694" width="14.140625" style="230" customWidth="1"/>
    <col min="7695" max="7695" width="12.7109375" style="230" customWidth="1"/>
    <col min="7696" max="7700" width="9.140625" style="230" hidden="1" customWidth="1"/>
    <col min="7701" max="7936" width="9.140625" style="230"/>
    <col min="7937" max="7937" width="28.7109375" style="230" customWidth="1"/>
    <col min="7938" max="7948" width="9.140625" style="230" hidden="1" customWidth="1"/>
    <col min="7949" max="7949" width="12.7109375" style="230" customWidth="1"/>
    <col min="7950" max="7950" width="14.140625" style="230" customWidth="1"/>
    <col min="7951" max="7951" width="12.7109375" style="230" customWidth="1"/>
    <col min="7952" max="7956" width="9.140625" style="230" hidden="1" customWidth="1"/>
    <col min="7957" max="8192" width="9.140625" style="230"/>
    <col min="8193" max="8193" width="28.7109375" style="230" customWidth="1"/>
    <col min="8194" max="8204" width="9.140625" style="230" hidden="1" customWidth="1"/>
    <col min="8205" max="8205" width="12.7109375" style="230" customWidth="1"/>
    <col min="8206" max="8206" width="14.140625" style="230" customWidth="1"/>
    <col min="8207" max="8207" width="12.7109375" style="230" customWidth="1"/>
    <col min="8208" max="8212" width="9.140625" style="230" hidden="1" customWidth="1"/>
    <col min="8213" max="8448" width="9.140625" style="230"/>
    <col min="8449" max="8449" width="28.7109375" style="230" customWidth="1"/>
    <col min="8450" max="8460" width="9.140625" style="230" hidden="1" customWidth="1"/>
    <col min="8461" max="8461" width="12.7109375" style="230" customWidth="1"/>
    <col min="8462" max="8462" width="14.140625" style="230" customWidth="1"/>
    <col min="8463" max="8463" width="12.7109375" style="230" customWidth="1"/>
    <col min="8464" max="8468" width="9.140625" style="230" hidden="1" customWidth="1"/>
    <col min="8469" max="8704" width="9.140625" style="230"/>
    <col min="8705" max="8705" width="28.7109375" style="230" customWidth="1"/>
    <col min="8706" max="8716" width="9.140625" style="230" hidden="1" customWidth="1"/>
    <col min="8717" max="8717" width="12.7109375" style="230" customWidth="1"/>
    <col min="8718" max="8718" width="14.140625" style="230" customWidth="1"/>
    <col min="8719" max="8719" width="12.7109375" style="230" customWidth="1"/>
    <col min="8720" max="8724" width="9.140625" style="230" hidden="1" customWidth="1"/>
    <col min="8725" max="8960" width="9.140625" style="230"/>
    <col min="8961" max="8961" width="28.7109375" style="230" customWidth="1"/>
    <col min="8962" max="8972" width="9.140625" style="230" hidden="1" customWidth="1"/>
    <col min="8973" max="8973" width="12.7109375" style="230" customWidth="1"/>
    <col min="8974" max="8974" width="14.140625" style="230" customWidth="1"/>
    <col min="8975" max="8975" width="12.7109375" style="230" customWidth="1"/>
    <col min="8976" max="8980" width="9.140625" style="230" hidden="1" customWidth="1"/>
    <col min="8981" max="9216" width="9.140625" style="230"/>
    <col min="9217" max="9217" width="28.7109375" style="230" customWidth="1"/>
    <col min="9218" max="9228" width="9.140625" style="230" hidden="1" customWidth="1"/>
    <col min="9229" max="9229" width="12.7109375" style="230" customWidth="1"/>
    <col min="9230" max="9230" width="14.140625" style="230" customWidth="1"/>
    <col min="9231" max="9231" width="12.7109375" style="230" customWidth="1"/>
    <col min="9232" max="9236" width="9.140625" style="230" hidden="1" customWidth="1"/>
    <col min="9237" max="9472" width="9.140625" style="230"/>
    <col min="9473" max="9473" width="28.7109375" style="230" customWidth="1"/>
    <col min="9474" max="9484" width="9.140625" style="230" hidden="1" customWidth="1"/>
    <col min="9485" max="9485" width="12.7109375" style="230" customWidth="1"/>
    <col min="9486" max="9486" width="14.140625" style="230" customWidth="1"/>
    <col min="9487" max="9487" width="12.7109375" style="230" customWidth="1"/>
    <col min="9488" max="9492" width="9.140625" style="230" hidden="1" customWidth="1"/>
    <col min="9493" max="9728" width="9.140625" style="230"/>
    <col min="9729" max="9729" width="28.7109375" style="230" customWidth="1"/>
    <col min="9730" max="9740" width="9.140625" style="230" hidden="1" customWidth="1"/>
    <col min="9741" max="9741" width="12.7109375" style="230" customWidth="1"/>
    <col min="9742" max="9742" width="14.140625" style="230" customWidth="1"/>
    <col min="9743" max="9743" width="12.7109375" style="230" customWidth="1"/>
    <col min="9744" max="9748" width="9.140625" style="230" hidden="1" customWidth="1"/>
    <col min="9749" max="9984" width="9.140625" style="230"/>
    <col min="9985" max="9985" width="28.7109375" style="230" customWidth="1"/>
    <col min="9986" max="9996" width="9.140625" style="230" hidden="1" customWidth="1"/>
    <col min="9997" max="9997" width="12.7109375" style="230" customWidth="1"/>
    <col min="9998" max="9998" width="14.140625" style="230" customWidth="1"/>
    <col min="9999" max="9999" width="12.7109375" style="230" customWidth="1"/>
    <col min="10000" max="10004" width="9.140625" style="230" hidden="1" customWidth="1"/>
    <col min="10005" max="10240" width="9.140625" style="230"/>
    <col min="10241" max="10241" width="28.7109375" style="230" customWidth="1"/>
    <col min="10242" max="10252" width="9.140625" style="230" hidden="1" customWidth="1"/>
    <col min="10253" max="10253" width="12.7109375" style="230" customWidth="1"/>
    <col min="10254" max="10254" width="14.140625" style="230" customWidth="1"/>
    <col min="10255" max="10255" width="12.7109375" style="230" customWidth="1"/>
    <col min="10256" max="10260" width="9.140625" style="230" hidden="1" customWidth="1"/>
    <col min="10261" max="10496" width="9.140625" style="230"/>
    <col min="10497" max="10497" width="28.7109375" style="230" customWidth="1"/>
    <col min="10498" max="10508" width="9.140625" style="230" hidden="1" customWidth="1"/>
    <col min="10509" max="10509" width="12.7109375" style="230" customWidth="1"/>
    <col min="10510" max="10510" width="14.140625" style="230" customWidth="1"/>
    <col min="10511" max="10511" width="12.7109375" style="230" customWidth="1"/>
    <col min="10512" max="10516" width="9.140625" style="230" hidden="1" customWidth="1"/>
    <col min="10517" max="10752" width="9.140625" style="230"/>
    <col min="10753" max="10753" width="28.7109375" style="230" customWidth="1"/>
    <col min="10754" max="10764" width="9.140625" style="230" hidden="1" customWidth="1"/>
    <col min="10765" max="10765" width="12.7109375" style="230" customWidth="1"/>
    <col min="10766" max="10766" width="14.140625" style="230" customWidth="1"/>
    <col min="10767" max="10767" width="12.7109375" style="230" customWidth="1"/>
    <col min="10768" max="10772" width="9.140625" style="230" hidden="1" customWidth="1"/>
    <col min="10773" max="11008" width="9.140625" style="230"/>
    <col min="11009" max="11009" width="28.7109375" style="230" customWidth="1"/>
    <col min="11010" max="11020" width="9.140625" style="230" hidden="1" customWidth="1"/>
    <col min="11021" max="11021" width="12.7109375" style="230" customWidth="1"/>
    <col min="11022" max="11022" width="14.140625" style="230" customWidth="1"/>
    <col min="11023" max="11023" width="12.7109375" style="230" customWidth="1"/>
    <col min="11024" max="11028" width="9.140625" style="230" hidden="1" customWidth="1"/>
    <col min="11029" max="11264" width="9.140625" style="230"/>
    <col min="11265" max="11265" width="28.7109375" style="230" customWidth="1"/>
    <col min="11266" max="11276" width="9.140625" style="230" hidden="1" customWidth="1"/>
    <col min="11277" max="11277" width="12.7109375" style="230" customWidth="1"/>
    <col min="11278" max="11278" width="14.140625" style="230" customWidth="1"/>
    <col min="11279" max="11279" width="12.7109375" style="230" customWidth="1"/>
    <col min="11280" max="11284" width="9.140625" style="230" hidden="1" customWidth="1"/>
    <col min="11285" max="11520" width="9.140625" style="230"/>
    <col min="11521" max="11521" width="28.7109375" style="230" customWidth="1"/>
    <col min="11522" max="11532" width="9.140625" style="230" hidden="1" customWidth="1"/>
    <col min="11533" max="11533" width="12.7109375" style="230" customWidth="1"/>
    <col min="11534" max="11534" width="14.140625" style="230" customWidth="1"/>
    <col min="11535" max="11535" width="12.7109375" style="230" customWidth="1"/>
    <col min="11536" max="11540" width="9.140625" style="230" hidden="1" customWidth="1"/>
    <col min="11541" max="11776" width="9.140625" style="230"/>
    <col min="11777" max="11777" width="28.7109375" style="230" customWidth="1"/>
    <col min="11778" max="11788" width="9.140625" style="230" hidden="1" customWidth="1"/>
    <col min="11789" max="11789" width="12.7109375" style="230" customWidth="1"/>
    <col min="11790" max="11790" width="14.140625" style="230" customWidth="1"/>
    <col min="11791" max="11791" width="12.7109375" style="230" customWidth="1"/>
    <col min="11792" max="11796" width="9.140625" style="230" hidden="1" customWidth="1"/>
    <col min="11797" max="12032" width="9.140625" style="230"/>
    <col min="12033" max="12033" width="28.7109375" style="230" customWidth="1"/>
    <col min="12034" max="12044" width="9.140625" style="230" hidden="1" customWidth="1"/>
    <col min="12045" max="12045" width="12.7109375" style="230" customWidth="1"/>
    <col min="12046" max="12046" width="14.140625" style="230" customWidth="1"/>
    <col min="12047" max="12047" width="12.7109375" style="230" customWidth="1"/>
    <col min="12048" max="12052" width="9.140625" style="230" hidden="1" customWidth="1"/>
    <col min="12053" max="12288" width="9.140625" style="230"/>
    <col min="12289" max="12289" width="28.7109375" style="230" customWidth="1"/>
    <col min="12290" max="12300" width="9.140625" style="230" hidden="1" customWidth="1"/>
    <col min="12301" max="12301" width="12.7109375" style="230" customWidth="1"/>
    <col min="12302" max="12302" width="14.140625" style="230" customWidth="1"/>
    <col min="12303" max="12303" width="12.7109375" style="230" customWidth="1"/>
    <col min="12304" max="12308" width="9.140625" style="230" hidden="1" customWidth="1"/>
    <col min="12309" max="12544" width="9.140625" style="230"/>
    <col min="12545" max="12545" width="28.7109375" style="230" customWidth="1"/>
    <col min="12546" max="12556" width="9.140625" style="230" hidden="1" customWidth="1"/>
    <col min="12557" max="12557" width="12.7109375" style="230" customWidth="1"/>
    <col min="12558" max="12558" width="14.140625" style="230" customWidth="1"/>
    <col min="12559" max="12559" width="12.7109375" style="230" customWidth="1"/>
    <col min="12560" max="12564" width="9.140625" style="230" hidden="1" customWidth="1"/>
    <col min="12565" max="12800" width="9.140625" style="230"/>
    <col min="12801" max="12801" width="28.7109375" style="230" customWidth="1"/>
    <col min="12802" max="12812" width="9.140625" style="230" hidden="1" customWidth="1"/>
    <col min="12813" max="12813" width="12.7109375" style="230" customWidth="1"/>
    <col min="12814" max="12814" width="14.140625" style="230" customWidth="1"/>
    <col min="12815" max="12815" width="12.7109375" style="230" customWidth="1"/>
    <col min="12816" max="12820" width="9.140625" style="230" hidden="1" customWidth="1"/>
    <col min="12821" max="13056" width="9.140625" style="230"/>
    <col min="13057" max="13057" width="28.7109375" style="230" customWidth="1"/>
    <col min="13058" max="13068" width="9.140625" style="230" hidden="1" customWidth="1"/>
    <col min="13069" max="13069" width="12.7109375" style="230" customWidth="1"/>
    <col min="13070" max="13070" width="14.140625" style="230" customWidth="1"/>
    <col min="13071" max="13071" width="12.7109375" style="230" customWidth="1"/>
    <col min="13072" max="13076" width="9.140625" style="230" hidden="1" customWidth="1"/>
    <col min="13077" max="13312" width="9.140625" style="230"/>
    <col min="13313" max="13313" width="28.7109375" style="230" customWidth="1"/>
    <col min="13314" max="13324" width="9.140625" style="230" hidden="1" customWidth="1"/>
    <col min="13325" max="13325" width="12.7109375" style="230" customWidth="1"/>
    <col min="13326" max="13326" width="14.140625" style="230" customWidth="1"/>
    <col min="13327" max="13327" width="12.7109375" style="230" customWidth="1"/>
    <col min="13328" max="13332" width="9.140625" style="230" hidden="1" customWidth="1"/>
    <col min="13333" max="13568" width="9.140625" style="230"/>
    <col min="13569" max="13569" width="28.7109375" style="230" customWidth="1"/>
    <col min="13570" max="13580" width="9.140625" style="230" hidden="1" customWidth="1"/>
    <col min="13581" max="13581" width="12.7109375" style="230" customWidth="1"/>
    <col min="13582" max="13582" width="14.140625" style="230" customWidth="1"/>
    <col min="13583" max="13583" width="12.7109375" style="230" customWidth="1"/>
    <col min="13584" max="13588" width="9.140625" style="230" hidden="1" customWidth="1"/>
    <col min="13589" max="13824" width="9.140625" style="230"/>
    <col min="13825" max="13825" width="28.7109375" style="230" customWidth="1"/>
    <col min="13826" max="13836" width="9.140625" style="230" hidden="1" customWidth="1"/>
    <col min="13837" max="13837" width="12.7109375" style="230" customWidth="1"/>
    <col min="13838" max="13838" width="14.140625" style="230" customWidth="1"/>
    <col min="13839" max="13839" width="12.7109375" style="230" customWidth="1"/>
    <col min="13840" max="13844" width="9.140625" style="230" hidden="1" customWidth="1"/>
    <col min="13845" max="14080" width="9.140625" style="230"/>
    <col min="14081" max="14081" width="28.7109375" style="230" customWidth="1"/>
    <col min="14082" max="14092" width="9.140625" style="230" hidden="1" customWidth="1"/>
    <col min="14093" max="14093" width="12.7109375" style="230" customWidth="1"/>
    <col min="14094" max="14094" width="14.140625" style="230" customWidth="1"/>
    <col min="14095" max="14095" width="12.7109375" style="230" customWidth="1"/>
    <col min="14096" max="14100" width="9.140625" style="230" hidden="1" customWidth="1"/>
    <col min="14101" max="14336" width="9.140625" style="230"/>
    <col min="14337" max="14337" width="28.7109375" style="230" customWidth="1"/>
    <col min="14338" max="14348" width="9.140625" style="230" hidden="1" customWidth="1"/>
    <col min="14349" max="14349" width="12.7109375" style="230" customWidth="1"/>
    <col min="14350" max="14350" width="14.140625" style="230" customWidth="1"/>
    <col min="14351" max="14351" width="12.7109375" style="230" customWidth="1"/>
    <col min="14352" max="14356" width="9.140625" style="230" hidden="1" customWidth="1"/>
    <col min="14357" max="14592" width="9.140625" style="230"/>
    <col min="14593" max="14593" width="28.7109375" style="230" customWidth="1"/>
    <col min="14594" max="14604" width="9.140625" style="230" hidden="1" customWidth="1"/>
    <col min="14605" max="14605" width="12.7109375" style="230" customWidth="1"/>
    <col min="14606" max="14606" width="14.140625" style="230" customWidth="1"/>
    <col min="14607" max="14607" width="12.7109375" style="230" customWidth="1"/>
    <col min="14608" max="14612" width="9.140625" style="230" hidden="1" customWidth="1"/>
    <col min="14613" max="14848" width="9.140625" style="230"/>
    <col min="14849" max="14849" width="28.7109375" style="230" customWidth="1"/>
    <col min="14850" max="14860" width="9.140625" style="230" hidden="1" customWidth="1"/>
    <col min="14861" max="14861" width="12.7109375" style="230" customWidth="1"/>
    <col min="14862" max="14862" width="14.140625" style="230" customWidth="1"/>
    <col min="14863" max="14863" width="12.7109375" style="230" customWidth="1"/>
    <col min="14864" max="14868" width="9.140625" style="230" hidden="1" customWidth="1"/>
    <col min="14869" max="15104" width="9.140625" style="230"/>
    <col min="15105" max="15105" width="28.7109375" style="230" customWidth="1"/>
    <col min="15106" max="15116" width="9.140625" style="230" hidden="1" customWidth="1"/>
    <col min="15117" max="15117" width="12.7109375" style="230" customWidth="1"/>
    <col min="15118" max="15118" width="14.140625" style="230" customWidth="1"/>
    <col min="15119" max="15119" width="12.7109375" style="230" customWidth="1"/>
    <col min="15120" max="15124" width="9.140625" style="230" hidden="1" customWidth="1"/>
    <col min="15125" max="15360" width="9.140625" style="230"/>
    <col min="15361" max="15361" width="28.7109375" style="230" customWidth="1"/>
    <col min="15362" max="15372" width="9.140625" style="230" hidden="1" customWidth="1"/>
    <col min="15373" max="15373" width="12.7109375" style="230" customWidth="1"/>
    <col min="15374" max="15374" width="14.140625" style="230" customWidth="1"/>
    <col min="15375" max="15375" width="12.7109375" style="230" customWidth="1"/>
    <col min="15376" max="15380" width="9.140625" style="230" hidden="1" customWidth="1"/>
    <col min="15381" max="15616" width="9.140625" style="230"/>
    <col min="15617" max="15617" width="28.7109375" style="230" customWidth="1"/>
    <col min="15618" max="15628" width="9.140625" style="230" hidden="1" customWidth="1"/>
    <col min="15629" max="15629" width="12.7109375" style="230" customWidth="1"/>
    <col min="15630" max="15630" width="14.140625" style="230" customWidth="1"/>
    <col min="15631" max="15631" width="12.7109375" style="230" customWidth="1"/>
    <col min="15632" max="15636" width="9.140625" style="230" hidden="1" customWidth="1"/>
    <col min="15637" max="15872" width="9.140625" style="230"/>
    <col min="15873" max="15873" width="28.7109375" style="230" customWidth="1"/>
    <col min="15874" max="15884" width="9.140625" style="230" hidden="1" customWidth="1"/>
    <col min="15885" max="15885" width="12.7109375" style="230" customWidth="1"/>
    <col min="15886" max="15886" width="14.140625" style="230" customWidth="1"/>
    <col min="15887" max="15887" width="12.7109375" style="230" customWidth="1"/>
    <col min="15888" max="15892" width="9.140625" style="230" hidden="1" customWidth="1"/>
    <col min="15893" max="16128" width="9.140625" style="230"/>
    <col min="16129" max="16129" width="28.7109375" style="230" customWidth="1"/>
    <col min="16130" max="16140" width="9.140625" style="230" hidden="1" customWidth="1"/>
    <col min="16141" max="16141" width="12.7109375" style="230" customWidth="1"/>
    <col min="16142" max="16142" width="14.140625" style="230" customWidth="1"/>
    <col min="16143" max="16143" width="12.7109375" style="230" customWidth="1"/>
    <col min="16144" max="16148" width="9.140625" style="230" hidden="1" customWidth="1"/>
    <col min="16149" max="16384" width="9.140625" style="230"/>
  </cols>
  <sheetData>
    <row r="1" spans="1:23" ht="15.75" x14ac:dyDescent="0.25">
      <c r="A1" s="583" t="s">
        <v>3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</row>
    <row r="2" spans="1:23" ht="15.75" x14ac:dyDescent="0.25">
      <c r="A2" s="231"/>
      <c r="B2" s="232"/>
      <c r="C2" s="232"/>
      <c r="D2" s="232"/>
      <c r="E2" s="232"/>
      <c r="F2" s="232"/>
      <c r="G2" s="232"/>
      <c r="H2" s="232"/>
      <c r="I2" s="233"/>
      <c r="J2" s="232"/>
      <c r="K2" s="232"/>
      <c r="L2" s="233"/>
      <c r="M2" s="232"/>
      <c r="N2" s="232"/>
      <c r="O2" s="233"/>
      <c r="P2" s="233"/>
      <c r="Q2" s="232"/>
      <c r="R2" s="232"/>
      <c r="S2" s="232"/>
      <c r="T2" s="233"/>
      <c r="V2" s="230">
        <v>0.64875539503619339</v>
      </c>
      <c r="W2" s="230">
        <v>0.35124460496380666</v>
      </c>
    </row>
    <row r="3" spans="1:23" ht="15.75" thickBot="1" x14ac:dyDescent="0.3">
      <c r="A3" s="234"/>
      <c r="B3" s="235"/>
      <c r="C3" s="235"/>
      <c r="D3" s="235"/>
      <c r="E3" s="235"/>
      <c r="F3" s="235"/>
      <c r="G3" s="235"/>
      <c r="H3" s="235"/>
      <c r="I3" s="236"/>
      <c r="J3" s="235"/>
      <c r="K3" s="235"/>
      <c r="L3" s="236"/>
      <c r="M3" s="235"/>
      <c r="N3" s="235"/>
      <c r="O3" s="236"/>
      <c r="P3" s="236"/>
      <c r="Q3" s="235"/>
      <c r="R3" s="235"/>
      <c r="S3" s="235"/>
      <c r="T3" s="236"/>
    </row>
    <row r="4" spans="1:23" ht="16.5" thickBot="1" x14ac:dyDescent="0.3">
      <c r="A4" s="283" t="s">
        <v>4</v>
      </c>
      <c r="B4" s="592" t="s">
        <v>5</v>
      </c>
      <c r="C4" s="593"/>
      <c r="D4" s="593"/>
      <c r="E4" s="593"/>
      <c r="F4" s="593"/>
      <c r="G4" s="593"/>
      <c r="H4" s="593"/>
      <c r="I4" s="594"/>
      <c r="J4" s="595" t="s">
        <v>6</v>
      </c>
      <c r="K4" s="596"/>
      <c r="L4" s="597"/>
      <c r="M4" s="595" t="s">
        <v>7</v>
      </c>
      <c r="N4" s="596"/>
      <c r="O4" s="597"/>
      <c r="P4" s="283" t="s">
        <v>8</v>
      </c>
      <c r="Q4" s="595" t="s">
        <v>9</v>
      </c>
      <c r="R4" s="596"/>
      <c r="S4" s="597"/>
      <c r="T4" s="284"/>
    </row>
    <row r="5" spans="1:23" ht="15.75" x14ac:dyDescent="0.25">
      <c r="A5" s="285"/>
      <c r="B5" s="286" t="s">
        <v>10</v>
      </c>
      <c r="C5" s="287" t="s">
        <v>11</v>
      </c>
      <c r="D5" s="288" t="s">
        <v>12</v>
      </c>
      <c r="E5" s="288" t="s">
        <v>13</v>
      </c>
      <c r="F5" s="288" t="s">
        <v>14</v>
      </c>
      <c r="G5" s="288" t="s">
        <v>15</v>
      </c>
      <c r="H5" s="289" t="s">
        <v>16</v>
      </c>
      <c r="I5" s="290" t="s">
        <v>17</v>
      </c>
      <c r="J5" s="287" t="s">
        <v>18</v>
      </c>
      <c r="K5" s="289" t="s">
        <v>19</v>
      </c>
      <c r="L5" s="290" t="s">
        <v>20</v>
      </c>
      <c r="M5" s="287" t="s">
        <v>21</v>
      </c>
      <c r="N5" s="289" t="s">
        <v>22</v>
      </c>
      <c r="O5" s="290" t="s">
        <v>20</v>
      </c>
      <c r="P5" s="291" t="s">
        <v>23</v>
      </c>
      <c r="Q5" s="287" t="s">
        <v>24</v>
      </c>
      <c r="R5" s="289" t="s">
        <v>25</v>
      </c>
      <c r="S5" s="292" t="s">
        <v>20</v>
      </c>
      <c r="T5" s="291" t="s">
        <v>26</v>
      </c>
    </row>
    <row r="6" spans="1:23" ht="15.75" x14ac:dyDescent="0.25">
      <c r="A6" s="598" t="s">
        <v>27</v>
      </c>
      <c r="B6" s="599"/>
      <c r="C6" s="599"/>
      <c r="D6" s="599"/>
      <c r="E6" s="599"/>
      <c r="F6" s="599"/>
      <c r="G6" s="599"/>
      <c r="H6" s="599"/>
      <c r="I6" s="600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</row>
    <row r="7" spans="1:23" ht="31.15" customHeight="1" x14ac:dyDescent="0.25">
      <c r="A7" s="293" t="s">
        <v>28</v>
      </c>
      <c r="B7" s="294" t="s">
        <v>29</v>
      </c>
      <c r="C7" s="295">
        <v>1.6400000000000001E-2</v>
      </c>
      <c r="D7" s="296">
        <v>1.6400000000000001E-2</v>
      </c>
      <c r="E7" s="296">
        <v>1.6400000000000001E-2</v>
      </c>
      <c r="F7" s="296">
        <v>1.6400000000000001E-2</v>
      </c>
      <c r="G7" s="296">
        <v>1.6400000000000001E-2</v>
      </c>
      <c r="H7" s="297">
        <v>1.6400000000000001E-2</v>
      </c>
      <c r="I7" s="244"/>
      <c r="J7" s="298">
        <v>1.6400000000000001E-2</v>
      </c>
      <c r="K7" s="299">
        <v>1.6400000000000001E-2</v>
      </c>
      <c r="L7" s="300"/>
      <c r="M7" s="295">
        <v>1.6400000000000001E-2</v>
      </c>
      <c r="N7" s="301">
        <v>1.6400000000000001E-2</v>
      </c>
      <c r="O7" s="302"/>
      <c r="P7" s="303">
        <v>1.6400000000000001E-2</v>
      </c>
      <c r="Q7" s="304">
        <v>1.6400000000000001E-2</v>
      </c>
      <c r="R7" s="299">
        <v>1.6400000000000001E-2</v>
      </c>
      <c r="S7" s="305"/>
      <c r="T7" s="306"/>
    </row>
    <row r="8" spans="1:23" ht="15.75" x14ac:dyDescent="0.25">
      <c r="A8" s="307" t="s">
        <v>30</v>
      </c>
      <c r="B8" s="308" t="s">
        <v>31</v>
      </c>
      <c r="C8" s="309">
        <f t="shared" ref="C8:H8" si="0">C7*C9</f>
        <v>45.683036030519915</v>
      </c>
      <c r="D8" s="246">
        <f t="shared" si="0"/>
        <v>24.733389605480088</v>
      </c>
      <c r="E8" s="246">
        <f t="shared" si="0"/>
        <v>0</v>
      </c>
      <c r="F8" s="246">
        <f t="shared" si="0"/>
        <v>0</v>
      </c>
      <c r="G8" s="246">
        <f t="shared" si="0"/>
        <v>0</v>
      </c>
      <c r="H8" s="310">
        <f t="shared" si="0"/>
        <v>0</v>
      </c>
      <c r="I8" s="246">
        <f>SUM(C8:H8)</f>
        <v>70.416425636</v>
      </c>
      <c r="J8" s="311">
        <f>J7*J9</f>
        <v>75.206578261843845</v>
      </c>
      <c r="K8" s="312">
        <f>K7*K9</f>
        <v>26.595199172347012</v>
      </c>
      <c r="L8" s="313">
        <f>SUM(J8:K8)</f>
        <v>101.80177743419085</v>
      </c>
      <c r="M8" s="309"/>
      <c r="N8" s="312"/>
      <c r="O8" s="314"/>
      <c r="P8" s="315">
        <f>P7*P9</f>
        <v>53.517604825160006</v>
      </c>
      <c r="Q8" s="309">
        <f>Q7*Q9</f>
        <v>18.843990380359863</v>
      </c>
      <c r="R8" s="312">
        <f>R7*R9</f>
        <v>33.266818450665411</v>
      </c>
      <c r="S8" s="314">
        <f>SUM(Q8:R8)</f>
        <v>52.110808831025274</v>
      </c>
      <c r="T8" s="316">
        <f>I8+L8+O8+P8+S8</f>
        <v>277.84661672637611</v>
      </c>
    </row>
    <row r="9" spans="1:23" ht="15.75" x14ac:dyDescent="0.25">
      <c r="A9" s="317" t="s">
        <v>32</v>
      </c>
      <c r="B9" s="318" t="s">
        <v>33</v>
      </c>
      <c r="C9" s="319">
        <f>V2*I9</f>
        <v>2785.5509774707261</v>
      </c>
      <c r="D9" s="252">
        <f>I9*W2</f>
        <v>1508.1335125292735</v>
      </c>
      <c r="E9" s="252">
        <f>I9*X2</f>
        <v>0</v>
      </c>
      <c r="F9" s="252">
        <f>I9*Y2</f>
        <v>0</v>
      </c>
      <c r="G9" s="252">
        <f>I9*Z2</f>
        <v>0</v>
      </c>
      <c r="H9" s="320">
        <f>I9*AA2</f>
        <v>0</v>
      </c>
      <c r="I9" s="253">
        <f>[5]лугов!F40</f>
        <v>4293.6844899999996</v>
      </c>
      <c r="J9" s="321">
        <f>'[1]расчет объема'!$G$14</f>
        <v>4585.7669671856002</v>
      </c>
      <c r="K9" s="322">
        <f>'[1]расчет объема'!$G$16</f>
        <v>1621.65848611872</v>
      </c>
      <c r="L9" s="323">
        <f>SUM(J9:K9)</f>
        <v>6207.4254533043204</v>
      </c>
      <c r="M9" s="319" t="e">
        <f>O9*V2</f>
        <v>#REF!</v>
      </c>
      <c r="N9" s="322" t="e">
        <f>O9*W2</f>
        <v>#REF!</v>
      </c>
      <c r="O9" s="324" t="e">
        <f>#REF!</f>
        <v>#REF!</v>
      </c>
      <c r="P9" s="325">
        <f>'[1]расчет объема'!$G$23</f>
        <v>3263.2685869000002</v>
      </c>
      <c r="Q9" s="319">
        <f>'[1]расчет объема'!$G$25</f>
        <v>1149.0238036804794</v>
      </c>
      <c r="R9" s="322">
        <f>'[1]расчет объема'!$G$26</f>
        <v>2028.4645396747198</v>
      </c>
      <c r="S9" s="324">
        <f>SUM(Q9:R9)</f>
        <v>3177.4883433551995</v>
      </c>
      <c r="T9" s="316" t="e">
        <f>I9+L9+O9+P9+S9</f>
        <v>#REF!</v>
      </c>
    </row>
    <row r="10" spans="1:23" ht="33" customHeight="1" x14ac:dyDescent="0.25">
      <c r="A10" s="326" t="s">
        <v>34</v>
      </c>
      <c r="B10" s="318" t="s">
        <v>29</v>
      </c>
      <c r="C10" s="327">
        <v>2.0400000000000001E-2</v>
      </c>
      <c r="D10" s="251">
        <v>2.0400000000000001E-2</v>
      </c>
      <c r="E10" s="251">
        <v>2.0400000000000001E-2</v>
      </c>
      <c r="F10" s="251">
        <v>2.0400000000000001E-2</v>
      </c>
      <c r="G10" s="251">
        <v>2.0400000000000001E-2</v>
      </c>
      <c r="H10" s="328">
        <v>2.0400000000000001E-2</v>
      </c>
      <c r="I10" s="256"/>
      <c r="J10" s="329">
        <v>2.0400000000000001E-2</v>
      </c>
      <c r="K10" s="330">
        <v>2.0400000000000001E-2</v>
      </c>
      <c r="L10" s="331"/>
      <c r="M10" s="327">
        <v>2.0400000000000001E-2</v>
      </c>
      <c r="N10" s="330">
        <v>2.0400000000000001E-2</v>
      </c>
      <c r="O10" s="332"/>
      <c r="P10" s="333">
        <v>2.0400000000000001E-2</v>
      </c>
      <c r="Q10" s="327">
        <v>2.0400000000000001E-2</v>
      </c>
      <c r="R10" s="330">
        <v>2.0400000000000001E-2</v>
      </c>
      <c r="S10" s="332"/>
      <c r="T10" s="334"/>
    </row>
    <row r="11" spans="1:23" ht="31.5" x14ac:dyDescent="0.25">
      <c r="A11" s="326" t="s">
        <v>35</v>
      </c>
      <c r="B11" s="318" t="s">
        <v>36</v>
      </c>
      <c r="C11" s="327">
        <v>12.9</v>
      </c>
      <c r="D11" s="251">
        <v>12.9</v>
      </c>
      <c r="E11" s="251">
        <v>12.9</v>
      </c>
      <c r="F11" s="251">
        <v>12.9</v>
      </c>
      <c r="G11" s="251">
        <v>12.9</v>
      </c>
      <c r="H11" s="328">
        <v>12.9</v>
      </c>
      <c r="I11" s="258"/>
      <c r="J11" s="335">
        <v>18</v>
      </c>
      <c r="K11" s="336">
        <v>18</v>
      </c>
      <c r="L11" s="337">
        <v>18</v>
      </c>
      <c r="M11" s="327">
        <v>12.9</v>
      </c>
      <c r="N11" s="330">
        <v>12.9</v>
      </c>
      <c r="O11" s="329">
        <v>12.9</v>
      </c>
      <c r="P11" s="338">
        <v>18</v>
      </c>
      <c r="Q11" s="339">
        <v>18</v>
      </c>
      <c r="R11" s="336">
        <v>18</v>
      </c>
      <c r="S11" s="335">
        <v>18</v>
      </c>
      <c r="T11" s="340">
        <v>18</v>
      </c>
    </row>
    <row r="12" spans="1:23" ht="15.75" x14ac:dyDescent="0.25">
      <c r="A12" s="317" t="s">
        <v>37</v>
      </c>
      <c r="B12" s="318" t="s">
        <v>33</v>
      </c>
      <c r="C12" s="341">
        <f>C9*C11/100</f>
        <v>359.3360760937237</v>
      </c>
      <c r="D12" s="260">
        <f t="shared" ref="D12:K12" si="1">D9*D11/100</f>
        <v>194.54922311627629</v>
      </c>
      <c r="E12" s="260">
        <f t="shared" si="1"/>
        <v>0</v>
      </c>
      <c r="F12" s="260">
        <f t="shared" si="1"/>
        <v>0</v>
      </c>
      <c r="G12" s="260">
        <f t="shared" si="1"/>
        <v>0</v>
      </c>
      <c r="H12" s="342">
        <f t="shared" si="1"/>
        <v>0</v>
      </c>
      <c r="I12" s="343">
        <f>SUM(C12:H12)</f>
        <v>553.88529920999997</v>
      </c>
      <c r="J12" s="344">
        <f t="shared" si="1"/>
        <v>825.43805409340803</v>
      </c>
      <c r="K12" s="345">
        <f t="shared" si="1"/>
        <v>291.89852750136959</v>
      </c>
      <c r="L12" s="313">
        <f>SUM(J12:K12)</f>
        <v>1117.3365815947777</v>
      </c>
      <c r="M12" s="341" t="e">
        <f>M9*M11/100</f>
        <v>#REF!</v>
      </c>
      <c r="N12" s="345" t="e">
        <f>N9*N11/100</f>
        <v>#REF!</v>
      </c>
      <c r="O12" s="314" t="e">
        <f>SUM(M12:N12)</f>
        <v>#REF!</v>
      </c>
      <c r="P12" s="315">
        <f>P9*P11/100</f>
        <v>587.3883456420001</v>
      </c>
      <c r="Q12" s="341">
        <f>Q9*Q11/100</f>
        <v>206.82428466248632</v>
      </c>
      <c r="R12" s="345">
        <f>R9*R11/100</f>
        <v>365.12361714144959</v>
      </c>
      <c r="S12" s="314">
        <f>SUM(Q12:R12)</f>
        <v>571.94790180393591</v>
      </c>
      <c r="T12" s="316" t="e">
        <f>I12+L12+O12+P12+S12</f>
        <v>#REF!</v>
      </c>
    </row>
    <row r="13" spans="1:23" ht="49.9" customHeight="1" x14ac:dyDescent="0.2">
      <c r="A13" s="346" t="s">
        <v>38</v>
      </c>
      <c r="B13" s="333" t="s">
        <v>31</v>
      </c>
      <c r="C13" s="347">
        <f>C10*C12</f>
        <v>7.3304559523119641</v>
      </c>
      <c r="D13" s="247">
        <f t="shared" ref="D13:K13" si="2">D10*D12</f>
        <v>3.9688041515720367</v>
      </c>
      <c r="E13" s="247">
        <f t="shared" si="2"/>
        <v>0</v>
      </c>
      <c r="F13" s="247">
        <f t="shared" si="2"/>
        <v>0</v>
      </c>
      <c r="G13" s="247">
        <f t="shared" si="2"/>
        <v>0</v>
      </c>
      <c r="H13" s="348">
        <f t="shared" si="2"/>
        <v>0</v>
      </c>
      <c r="I13" s="343">
        <f>SUM(C13:H13)</f>
        <v>11.299260103884</v>
      </c>
      <c r="J13" s="349">
        <f t="shared" si="2"/>
        <v>16.838936303505523</v>
      </c>
      <c r="K13" s="350">
        <f t="shared" si="2"/>
        <v>5.9547299610279403</v>
      </c>
      <c r="L13" s="351">
        <f>SUM(J13:K13)</f>
        <v>22.793666264533464</v>
      </c>
      <c r="M13" s="347" t="e">
        <f>M10*M12</f>
        <v>#REF!</v>
      </c>
      <c r="N13" s="350" t="e">
        <f>N10*N12</f>
        <v>#REF!</v>
      </c>
      <c r="O13" s="352" t="e">
        <f>SUM(M13:N13)</f>
        <v>#REF!</v>
      </c>
      <c r="P13" s="353">
        <f>P10*P12</f>
        <v>11.982722251096803</v>
      </c>
      <c r="Q13" s="347">
        <f>Q10*Q12</f>
        <v>4.2192154071147216</v>
      </c>
      <c r="R13" s="350">
        <f>R10*R12</f>
        <v>7.4485217896855724</v>
      </c>
      <c r="S13" s="352">
        <f>SUM(Q13:R13)</f>
        <v>11.667737196800294</v>
      </c>
      <c r="T13" s="354" t="e">
        <f>I13+L13+O13+P13+S13</f>
        <v>#REF!</v>
      </c>
    </row>
    <row r="14" spans="1:23" ht="15.75" x14ac:dyDescent="0.25">
      <c r="A14" s="317" t="s">
        <v>39</v>
      </c>
      <c r="B14" s="318" t="s">
        <v>40</v>
      </c>
      <c r="C14" s="355">
        <f>5400/1.2</f>
        <v>4500</v>
      </c>
      <c r="D14" s="263">
        <f>C14</f>
        <v>4500</v>
      </c>
      <c r="E14" s="263">
        <f>D14</f>
        <v>4500</v>
      </c>
      <c r="F14" s="263">
        <f>E14</f>
        <v>4500</v>
      </c>
      <c r="G14" s="263">
        <f>F14</f>
        <v>4500</v>
      </c>
      <c r="H14" s="263">
        <f>G14</f>
        <v>4500</v>
      </c>
      <c r="I14" s="264"/>
      <c r="J14" s="335">
        <v>5400</v>
      </c>
      <c r="K14" s="336">
        <v>5400</v>
      </c>
      <c r="L14" s="337">
        <v>5400</v>
      </c>
      <c r="M14" s="339">
        <f>[5]гуртовка!B16/1.2</f>
        <v>4684.5</v>
      </c>
      <c r="N14" s="336">
        <f>M14</f>
        <v>4684.5</v>
      </c>
      <c r="O14" s="335">
        <f>N14</f>
        <v>4684.5</v>
      </c>
      <c r="P14" s="338">
        <v>5400</v>
      </c>
      <c r="Q14" s="339">
        <v>5400</v>
      </c>
      <c r="R14" s="336">
        <v>5400</v>
      </c>
      <c r="S14" s="335">
        <v>5400</v>
      </c>
      <c r="T14" s="340">
        <v>5400</v>
      </c>
    </row>
    <row r="15" spans="1:23" ht="16.5" thickBot="1" x14ac:dyDescent="0.3">
      <c r="A15" s="356" t="s">
        <v>41</v>
      </c>
      <c r="B15" s="357" t="s">
        <v>31</v>
      </c>
      <c r="C15" s="358">
        <f t="shared" ref="C15:H15" si="3">C8+C13</f>
        <v>53.01349198283188</v>
      </c>
      <c r="D15" s="359">
        <f t="shared" si="3"/>
        <v>28.702193757052125</v>
      </c>
      <c r="E15" s="359">
        <f t="shared" si="3"/>
        <v>0</v>
      </c>
      <c r="F15" s="359">
        <f t="shared" si="3"/>
        <v>0</v>
      </c>
      <c r="G15" s="359">
        <f t="shared" si="3"/>
        <v>0</v>
      </c>
      <c r="H15" s="360">
        <f t="shared" si="3"/>
        <v>0</v>
      </c>
      <c r="I15" s="343">
        <f>SUM(C15:H15)</f>
        <v>81.715685739884009</v>
      </c>
      <c r="J15" s="361">
        <f t="shared" ref="J15:R15" si="4">J8+J13</f>
        <v>92.045514565349364</v>
      </c>
      <c r="K15" s="362">
        <f t="shared" si="4"/>
        <v>32.549929133374953</v>
      </c>
      <c r="L15" s="363">
        <f>SUM(J15:K15)</f>
        <v>124.59544369872432</v>
      </c>
      <c r="M15" s="358" t="e">
        <f>M8+M13</f>
        <v>#REF!</v>
      </c>
      <c r="N15" s="362" t="e">
        <f t="shared" si="4"/>
        <v>#REF!</v>
      </c>
      <c r="O15" s="364" t="e">
        <f>SUM(M15:N15)</f>
        <v>#REF!</v>
      </c>
      <c r="P15" s="365">
        <f t="shared" si="4"/>
        <v>65.500327076256809</v>
      </c>
      <c r="Q15" s="358">
        <f t="shared" si="4"/>
        <v>23.063205787474583</v>
      </c>
      <c r="R15" s="362">
        <f t="shared" si="4"/>
        <v>40.715340240350983</v>
      </c>
      <c r="S15" s="364">
        <f>SUM(Q15:R15)</f>
        <v>63.77854602782557</v>
      </c>
      <c r="T15" s="366" t="e">
        <f>I15+L15+O15+P15+S15</f>
        <v>#REF!</v>
      </c>
    </row>
    <row r="16" spans="1:23" ht="32.25" thickBot="1" x14ac:dyDescent="0.3">
      <c r="A16" s="367" t="s">
        <v>42</v>
      </c>
      <c r="B16" s="368" t="s">
        <v>43</v>
      </c>
      <c r="C16" s="369">
        <f t="shared" ref="C16:H16" si="5">(C15)*C14/1000</f>
        <v>238.56071392274345</v>
      </c>
      <c r="D16" s="369">
        <f t="shared" si="5"/>
        <v>129.15987190673457</v>
      </c>
      <c r="E16" s="369">
        <f t="shared" si="5"/>
        <v>0</v>
      </c>
      <c r="F16" s="369">
        <f t="shared" si="5"/>
        <v>0</v>
      </c>
      <c r="G16" s="369">
        <f t="shared" si="5"/>
        <v>0</v>
      </c>
      <c r="H16" s="369">
        <f t="shared" si="5"/>
        <v>0</v>
      </c>
      <c r="I16" s="343">
        <f>SUM(C16:H16)</f>
        <v>367.72058582947801</v>
      </c>
      <c r="J16" s="370">
        <f t="shared" ref="J16:R16" si="6">(J8+J13)*J14/1000</f>
        <v>497.04577865288655</v>
      </c>
      <c r="K16" s="371">
        <f t="shared" si="6"/>
        <v>175.76961732022474</v>
      </c>
      <c r="L16" s="372">
        <f>SUM(J16:K16)</f>
        <v>672.81539597311132</v>
      </c>
      <c r="M16" s="373" t="e">
        <f>(M8+M13)*M14/1000</f>
        <v>#REF!</v>
      </c>
      <c r="N16" s="374" t="e">
        <f>(N8+N13)*N14/1000</f>
        <v>#REF!</v>
      </c>
      <c r="O16" s="372" t="e">
        <f>SUM(M16:N16)</f>
        <v>#REF!</v>
      </c>
      <c r="P16" s="375">
        <f t="shared" si="6"/>
        <v>353.70176621178678</v>
      </c>
      <c r="Q16" s="373">
        <f t="shared" si="6"/>
        <v>124.54131125236275</v>
      </c>
      <c r="R16" s="374">
        <f t="shared" si="6"/>
        <v>219.86283729789531</v>
      </c>
      <c r="S16" s="372">
        <f>SUM(Q16:R16)</f>
        <v>344.40414855025807</v>
      </c>
      <c r="T16" s="372" t="e">
        <f>I16+L16+O16+P16+S16</f>
        <v>#REF!</v>
      </c>
    </row>
    <row r="17" spans="1:20" ht="16.5" thickBot="1" x14ac:dyDescent="0.3">
      <c r="A17" s="586" t="s">
        <v>1</v>
      </c>
      <c r="B17" s="587"/>
      <c r="C17" s="588"/>
      <c r="D17" s="588"/>
      <c r="E17" s="588"/>
      <c r="F17" s="588"/>
      <c r="G17" s="588"/>
      <c r="H17" s="588"/>
      <c r="I17" s="587"/>
      <c r="J17" s="588"/>
      <c r="K17" s="588"/>
      <c r="L17" s="587"/>
      <c r="M17" s="587"/>
      <c r="N17" s="587"/>
      <c r="O17" s="587"/>
      <c r="P17" s="587"/>
      <c r="Q17" s="588"/>
      <c r="R17" s="588"/>
      <c r="S17" s="587"/>
      <c r="T17" s="589"/>
    </row>
    <row r="18" spans="1:20" ht="15.75" x14ac:dyDescent="0.25">
      <c r="A18" s="376" t="s">
        <v>1</v>
      </c>
      <c r="B18" s="377" t="s">
        <v>31</v>
      </c>
      <c r="C18" s="378">
        <f t="shared" ref="C18:H18" si="7">C28*C29</f>
        <v>33.382321469106934</v>
      </c>
      <c r="D18" s="379">
        <f t="shared" si="7"/>
        <v>17.263001064517585</v>
      </c>
      <c r="E18" s="379">
        <f t="shared" si="7"/>
        <v>0</v>
      </c>
      <c r="F18" s="379">
        <f t="shared" si="7"/>
        <v>0</v>
      </c>
      <c r="G18" s="379">
        <f t="shared" si="7"/>
        <v>0</v>
      </c>
      <c r="H18" s="380">
        <f t="shared" si="7"/>
        <v>0</v>
      </c>
      <c r="I18" s="343">
        <f>SUM(C18:H18)</f>
        <v>50.645322533624523</v>
      </c>
      <c r="J18" s="381">
        <f t="shared" ref="J18:R18" si="8">J28*J29</f>
        <v>61.451897798554</v>
      </c>
      <c r="K18" s="382">
        <f t="shared" si="8"/>
        <v>21.73115037598291</v>
      </c>
      <c r="L18" s="383">
        <f>SUM(J18:K18)</f>
        <v>83.183048174536907</v>
      </c>
      <c r="M18" s="384" t="e">
        <f t="shared" si="8"/>
        <v>#REF!</v>
      </c>
      <c r="N18" s="382" t="e">
        <f>N28*N29</f>
        <v>#REF!</v>
      </c>
      <c r="O18" s="383" t="e">
        <f>SUM(M18:N18)</f>
        <v>#REF!</v>
      </c>
      <c r="P18" s="384">
        <f t="shared" si="8"/>
        <v>314.68637561679793</v>
      </c>
      <c r="Q18" s="378">
        <f t="shared" si="8"/>
        <v>10.719407210792861</v>
      </c>
      <c r="R18" s="380">
        <f t="shared" si="8"/>
        <v>20.749453556981234</v>
      </c>
      <c r="S18" s="383">
        <f>SUM(Q18:R18)</f>
        <v>31.468860767774096</v>
      </c>
      <c r="T18" s="385" t="e">
        <f>I18+L18+O18+P18+S18</f>
        <v>#REF!</v>
      </c>
    </row>
    <row r="19" spans="1:20" ht="33.6" customHeight="1" x14ac:dyDescent="0.25">
      <c r="A19" s="326" t="s">
        <v>44</v>
      </c>
      <c r="B19" s="318" t="s">
        <v>45</v>
      </c>
      <c r="C19" s="327">
        <f>1.5*2</f>
        <v>3</v>
      </c>
      <c r="D19" s="251">
        <f>1*2</f>
        <v>2</v>
      </c>
      <c r="E19" s="251">
        <f>1*2</f>
        <v>2</v>
      </c>
      <c r="F19" s="251">
        <f>3*2</f>
        <v>6</v>
      </c>
      <c r="G19" s="251">
        <f>1.5*2</f>
        <v>3</v>
      </c>
      <c r="H19" s="330">
        <f>1.5*2</f>
        <v>3</v>
      </c>
      <c r="I19" s="386"/>
      <c r="J19" s="329">
        <f>1*2</f>
        <v>2</v>
      </c>
      <c r="K19" s="328">
        <f>1*2</f>
        <v>2</v>
      </c>
      <c r="L19" s="334"/>
      <c r="M19" s="387">
        <f>1*2</f>
        <v>2</v>
      </c>
      <c r="N19" s="328">
        <v>0</v>
      </c>
      <c r="O19" s="334"/>
      <c r="P19" s="331">
        <v>0.8</v>
      </c>
      <c r="Q19" s="327">
        <v>0</v>
      </c>
      <c r="R19" s="330">
        <v>1.2</v>
      </c>
      <c r="S19" s="334"/>
      <c r="T19" s="334"/>
    </row>
    <row r="20" spans="1:20" ht="15.75" x14ac:dyDescent="0.25">
      <c r="A20" s="317" t="s">
        <v>46</v>
      </c>
      <c r="B20" s="318" t="s">
        <v>47</v>
      </c>
      <c r="C20" s="339">
        <v>24</v>
      </c>
      <c r="D20" s="259">
        <v>24</v>
      </c>
      <c r="E20" s="259">
        <v>24</v>
      </c>
      <c r="F20" s="259">
        <v>24</v>
      </c>
      <c r="G20" s="259">
        <v>24</v>
      </c>
      <c r="H20" s="336">
        <v>24</v>
      </c>
      <c r="I20" s="388"/>
      <c r="J20" s="335">
        <v>24</v>
      </c>
      <c r="K20" s="389">
        <v>24</v>
      </c>
      <c r="L20" s="390">
        <v>24</v>
      </c>
      <c r="M20" s="337">
        <v>24</v>
      </c>
      <c r="N20" s="389">
        <v>24</v>
      </c>
      <c r="O20" s="390">
        <v>24</v>
      </c>
      <c r="P20" s="391">
        <v>24</v>
      </c>
      <c r="Q20" s="339">
        <v>24</v>
      </c>
      <c r="R20" s="336">
        <v>24</v>
      </c>
      <c r="S20" s="390">
        <v>24</v>
      </c>
      <c r="T20" s="390">
        <v>24</v>
      </c>
    </row>
    <row r="21" spans="1:20" ht="42.6" customHeight="1" x14ac:dyDescent="0.25">
      <c r="A21" s="326" t="s">
        <v>48</v>
      </c>
      <c r="B21" s="318" t="s">
        <v>45</v>
      </c>
      <c r="C21" s="327">
        <f t="shared" ref="C21:H21" si="9">7*2</f>
        <v>14</v>
      </c>
      <c r="D21" s="251">
        <f t="shared" si="9"/>
        <v>14</v>
      </c>
      <c r="E21" s="251">
        <f t="shared" si="9"/>
        <v>14</v>
      </c>
      <c r="F21" s="251">
        <f t="shared" si="9"/>
        <v>14</v>
      </c>
      <c r="G21" s="251">
        <f t="shared" si="9"/>
        <v>14</v>
      </c>
      <c r="H21" s="330">
        <f t="shared" si="9"/>
        <v>14</v>
      </c>
      <c r="I21" s="388"/>
      <c r="J21" s="329">
        <f>5*2</f>
        <v>10</v>
      </c>
      <c r="K21" s="328">
        <f>5*2</f>
        <v>10</v>
      </c>
      <c r="L21" s="334"/>
      <c r="M21" s="387">
        <f>1.5*2</f>
        <v>3</v>
      </c>
      <c r="N21" s="328">
        <f>1.5*2</f>
        <v>3</v>
      </c>
      <c r="O21" s="334"/>
      <c r="P21" s="331">
        <v>5</v>
      </c>
      <c r="Q21" s="327">
        <v>6</v>
      </c>
      <c r="R21" s="330">
        <v>6</v>
      </c>
      <c r="S21" s="334"/>
      <c r="T21" s="334"/>
    </row>
    <row r="22" spans="1:20" ht="15.75" x14ac:dyDescent="0.25">
      <c r="A22" s="317" t="s">
        <v>49</v>
      </c>
      <c r="B22" s="318" t="s">
        <v>47</v>
      </c>
      <c r="C22" s="339">
        <v>28</v>
      </c>
      <c r="D22" s="259">
        <v>28</v>
      </c>
      <c r="E22" s="259">
        <v>28</v>
      </c>
      <c r="F22" s="259">
        <v>28</v>
      </c>
      <c r="G22" s="259">
        <v>28</v>
      </c>
      <c r="H22" s="336">
        <v>28</v>
      </c>
      <c r="I22" s="388"/>
      <c r="J22" s="335">
        <v>28</v>
      </c>
      <c r="K22" s="389">
        <v>28</v>
      </c>
      <c r="L22" s="390">
        <v>28</v>
      </c>
      <c r="M22" s="337">
        <v>28</v>
      </c>
      <c r="N22" s="389">
        <v>28</v>
      </c>
      <c r="O22" s="390">
        <v>28</v>
      </c>
      <c r="P22" s="391">
        <v>28</v>
      </c>
      <c r="Q22" s="339">
        <v>28</v>
      </c>
      <c r="R22" s="336">
        <v>28</v>
      </c>
      <c r="S22" s="390">
        <v>28</v>
      </c>
      <c r="T22" s="390">
        <v>28</v>
      </c>
    </row>
    <row r="23" spans="1:20" ht="15.75" x14ac:dyDescent="0.25">
      <c r="A23" s="317" t="s">
        <v>50</v>
      </c>
      <c r="B23" s="318" t="s">
        <v>51</v>
      </c>
      <c r="C23" s="341">
        <f t="shared" ref="C23:H23" si="10">(C19/C20+C21/C22)</f>
        <v>0.625</v>
      </c>
      <c r="D23" s="260">
        <f t="shared" si="10"/>
        <v>0.58333333333333337</v>
      </c>
      <c r="E23" s="260">
        <f t="shared" si="10"/>
        <v>0.58333333333333337</v>
      </c>
      <c r="F23" s="260">
        <f t="shared" si="10"/>
        <v>0.75</v>
      </c>
      <c r="G23" s="260">
        <f t="shared" si="10"/>
        <v>0.625</v>
      </c>
      <c r="H23" s="345">
        <f t="shared" si="10"/>
        <v>0.625</v>
      </c>
      <c r="I23" s="386"/>
      <c r="J23" s="344">
        <f>(J19/J20+J21/J22)</f>
        <v>0.44047619047619047</v>
      </c>
      <c r="K23" s="342">
        <f>(K19/K20+K21/K22)</f>
        <v>0.44047619047619047</v>
      </c>
      <c r="L23" s="392"/>
      <c r="M23" s="393">
        <f>(M19/M20+M21/M22)</f>
        <v>0.19047619047619047</v>
      </c>
      <c r="N23" s="342">
        <f>(N19/N20+N21/N22)</f>
        <v>0.10714285714285714</v>
      </c>
      <c r="O23" s="392"/>
      <c r="P23" s="394">
        <f>(P19/P20+P21/P22)</f>
        <v>0.2119047619047619</v>
      </c>
      <c r="Q23" s="341">
        <f>(Q19/Q20+Q21/Q22)</f>
        <v>0.21428571428571427</v>
      </c>
      <c r="R23" s="345">
        <f>(R19/R20+R21/R22)</f>
        <v>0.26428571428571429</v>
      </c>
      <c r="S23" s="392"/>
      <c r="T23" s="390"/>
    </row>
    <row r="24" spans="1:20" ht="30" customHeight="1" x14ac:dyDescent="0.2">
      <c r="A24" s="395" t="s">
        <v>52</v>
      </c>
      <c r="B24" s="318" t="s">
        <v>51</v>
      </c>
      <c r="C24" s="396">
        <f t="shared" ref="C24:H24" si="11">C10*C30</f>
        <v>0.20400000000000001</v>
      </c>
      <c r="D24" s="269">
        <f t="shared" si="11"/>
        <v>0.20400000000000001</v>
      </c>
      <c r="E24" s="269">
        <f t="shared" si="11"/>
        <v>0.20400000000000001</v>
      </c>
      <c r="F24" s="269">
        <f t="shared" si="11"/>
        <v>0.20400000000000001</v>
      </c>
      <c r="G24" s="269">
        <f t="shared" si="11"/>
        <v>0.20400000000000001</v>
      </c>
      <c r="H24" s="397">
        <f t="shared" si="11"/>
        <v>0.20400000000000001</v>
      </c>
      <c r="I24" s="398"/>
      <c r="J24" s="399">
        <f t="shared" ref="J24:R24" si="12">J10*J30</f>
        <v>0.20400000000000001</v>
      </c>
      <c r="K24" s="400">
        <f t="shared" si="12"/>
        <v>0.20400000000000001</v>
      </c>
      <c r="L24" s="401"/>
      <c r="M24" s="402">
        <f t="shared" si="12"/>
        <v>0.20400000000000001</v>
      </c>
      <c r="N24" s="400">
        <f t="shared" si="12"/>
        <v>0.20400000000000001</v>
      </c>
      <c r="O24" s="401"/>
      <c r="P24" s="403">
        <f t="shared" si="12"/>
        <v>0.36720000000000003</v>
      </c>
      <c r="Q24" s="396">
        <f t="shared" si="12"/>
        <v>0.20400000000000001</v>
      </c>
      <c r="R24" s="397">
        <f t="shared" si="12"/>
        <v>0.20400000000000001</v>
      </c>
      <c r="S24" s="401"/>
      <c r="T24" s="334"/>
    </row>
    <row r="25" spans="1:20" ht="31.5" x14ac:dyDescent="0.25">
      <c r="A25" s="395" t="s">
        <v>53</v>
      </c>
      <c r="B25" s="318" t="s">
        <v>51</v>
      </c>
      <c r="C25" s="396">
        <v>0.1</v>
      </c>
      <c r="D25" s="269">
        <v>0.1</v>
      </c>
      <c r="E25" s="269">
        <v>0.1</v>
      </c>
      <c r="F25" s="269">
        <v>0.1</v>
      </c>
      <c r="G25" s="269">
        <v>0.1</v>
      </c>
      <c r="H25" s="397">
        <v>0.1</v>
      </c>
      <c r="I25" s="386"/>
      <c r="J25" s="404">
        <v>0.1</v>
      </c>
      <c r="K25" s="405">
        <v>0.1</v>
      </c>
      <c r="L25" s="406"/>
      <c r="M25" s="407">
        <v>0.1</v>
      </c>
      <c r="N25" s="405">
        <v>0.1</v>
      </c>
      <c r="O25" s="406"/>
      <c r="P25" s="408">
        <v>0.1</v>
      </c>
      <c r="Q25" s="409">
        <v>0.1</v>
      </c>
      <c r="R25" s="410">
        <v>0.1</v>
      </c>
      <c r="S25" s="406"/>
      <c r="T25" s="390"/>
    </row>
    <row r="26" spans="1:20" ht="15.75" x14ac:dyDescent="0.25">
      <c r="A26" s="326" t="s">
        <v>54</v>
      </c>
      <c r="B26" s="318" t="s">
        <v>51</v>
      </c>
      <c r="C26" s="341">
        <f t="shared" ref="C26:H26" si="13">C23+C24+C25</f>
        <v>0.92899999999999994</v>
      </c>
      <c r="D26" s="260">
        <f t="shared" si="13"/>
        <v>0.88733333333333342</v>
      </c>
      <c r="E26" s="260">
        <f t="shared" si="13"/>
        <v>0.88733333333333342</v>
      </c>
      <c r="F26" s="260">
        <f t="shared" si="13"/>
        <v>1.054</v>
      </c>
      <c r="G26" s="260">
        <f t="shared" si="13"/>
        <v>0.92899999999999994</v>
      </c>
      <c r="H26" s="345">
        <f t="shared" si="13"/>
        <v>0.92899999999999994</v>
      </c>
      <c r="I26" s="386"/>
      <c r="J26" s="344">
        <f>J23+J24+J25</f>
        <v>0.7444761904761904</v>
      </c>
      <c r="K26" s="342">
        <f>K23+K24+K25</f>
        <v>0.7444761904761904</v>
      </c>
      <c r="L26" s="392"/>
      <c r="M26" s="393">
        <f>M23+M24+M25</f>
        <v>0.49447619047619051</v>
      </c>
      <c r="N26" s="342">
        <f>N23+N24+N25</f>
        <v>0.41114285714285714</v>
      </c>
      <c r="O26" s="392"/>
      <c r="P26" s="394">
        <f>P23+P24+P25</f>
        <v>0.67910476190476188</v>
      </c>
      <c r="Q26" s="341">
        <f>Q23+Q24+Q25</f>
        <v>0.51828571428571424</v>
      </c>
      <c r="R26" s="345">
        <f>R23+R24+R25</f>
        <v>0.56828571428571428</v>
      </c>
      <c r="S26" s="392"/>
      <c r="T26" s="390"/>
    </row>
    <row r="27" spans="1:20" ht="15.75" x14ac:dyDescent="0.2">
      <c r="A27" s="147" t="s">
        <v>55</v>
      </c>
      <c r="B27" s="318" t="s">
        <v>51</v>
      </c>
      <c r="C27" s="396">
        <v>1</v>
      </c>
      <c r="D27" s="269">
        <v>1</v>
      </c>
      <c r="E27" s="269">
        <v>1</v>
      </c>
      <c r="F27" s="269">
        <v>1</v>
      </c>
      <c r="G27" s="269">
        <v>1</v>
      </c>
      <c r="H27" s="397">
        <v>1</v>
      </c>
      <c r="I27" s="386"/>
      <c r="J27" s="399">
        <v>1</v>
      </c>
      <c r="K27" s="400">
        <v>1</v>
      </c>
      <c r="L27" s="401"/>
      <c r="M27" s="402">
        <v>1</v>
      </c>
      <c r="N27" s="400">
        <v>1</v>
      </c>
      <c r="O27" s="401"/>
      <c r="P27" s="403">
        <v>14.2</v>
      </c>
      <c r="Q27" s="396">
        <v>1</v>
      </c>
      <c r="R27" s="397">
        <v>1</v>
      </c>
      <c r="S27" s="401"/>
      <c r="T27" s="334"/>
    </row>
    <row r="28" spans="1:20" ht="15.75" x14ac:dyDescent="0.25">
      <c r="A28" s="326" t="s">
        <v>54</v>
      </c>
      <c r="B28" s="318" t="s">
        <v>56</v>
      </c>
      <c r="C28" s="411">
        <f t="shared" ref="C28:H28" si="14">C26*C27</f>
        <v>0.92899999999999994</v>
      </c>
      <c r="D28" s="275">
        <f t="shared" si="14"/>
        <v>0.88733333333333342</v>
      </c>
      <c r="E28" s="275">
        <f t="shared" si="14"/>
        <v>0.88733333333333342</v>
      </c>
      <c r="F28" s="275">
        <f t="shared" si="14"/>
        <v>1.054</v>
      </c>
      <c r="G28" s="275">
        <f t="shared" si="14"/>
        <v>0.92899999999999994</v>
      </c>
      <c r="H28" s="412">
        <f t="shared" si="14"/>
        <v>0.92899999999999994</v>
      </c>
      <c r="I28" s="386"/>
      <c r="J28" s="413">
        <f>J26*J27</f>
        <v>0.7444761904761904</v>
      </c>
      <c r="K28" s="414">
        <f>K26*K27</f>
        <v>0.7444761904761904</v>
      </c>
      <c r="L28" s="415"/>
      <c r="M28" s="416">
        <f>M26*M27</f>
        <v>0.49447619047619051</v>
      </c>
      <c r="N28" s="414">
        <f>N26*N27</f>
        <v>0.41114285714285714</v>
      </c>
      <c r="O28" s="415"/>
      <c r="P28" s="417">
        <f>P26*P27</f>
        <v>9.6432876190476176</v>
      </c>
      <c r="Q28" s="411">
        <f>Q26*Q27</f>
        <v>0.51828571428571424</v>
      </c>
      <c r="R28" s="412">
        <f>R26*R27</f>
        <v>0.56828571428571428</v>
      </c>
      <c r="S28" s="415"/>
      <c r="T28" s="390"/>
    </row>
    <row r="29" spans="1:20" ht="15.75" x14ac:dyDescent="0.2">
      <c r="A29" s="395" t="s">
        <v>57</v>
      </c>
      <c r="B29" s="318" t="s">
        <v>58</v>
      </c>
      <c r="C29" s="418">
        <f>C12/C30</f>
        <v>35.933607609372373</v>
      </c>
      <c r="D29" s="261">
        <f t="shared" ref="D29:R29" si="15">D12/D30</f>
        <v>19.45492231162763</v>
      </c>
      <c r="E29" s="261">
        <f t="shared" si="15"/>
        <v>0</v>
      </c>
      <c r="F29" s="261">
        <f t="shared" si="15"/>
        <v>0</v>
      </c>
      <c r="G29" s="261">
        <f t="shared" si="15"/>
        <v>0</v>
      </c>
      <c r="H29" s="419">
        <f t="shared" si="15"/>
        <v>0</v>
      </c>
      <c r="I29" s="386"/>
      <c r="J29" s="420">
        <f t="shared" si="15"/>
        <v>82.543805409340806</v>
      </c>
      <c r="K29" s="421">
        <f t="shared" si="15"/>
        <v>29.189852750136957</v>
      </c>
      <c r="L29" s="422">
        <f>SUM(J29:K29)</f>
        <v>111.73365815947776</v>
      </c>
      <c r="M29" s="423" t="e">
        <f t="shared" si="15"/>
        <v>#REF!</v>
      </c>
      <c r="N29" s="421" t="e">
        <f t="shared" si="15"/>
        <v>#REF!</v>
      </c>
      <c r="O29" s="422" t="e">
        <f>SUM(M29:N29)</f>
        <v>#REF!</v>
      </c>
      <c r="P29" s="424">
        <f t="shared" si="15"/>
        <v>32.632685869000007</v>
      </c>
      <c r="Q29" s="418">
        <f t="shared" si="15"/>
        <v>20.682428466248631</v>
      </c>
      <c r="R29" s="419">
        <f t="shared" si="15"/>
        <v>36.512361714144959</v>
      </c>
      <c r="S29" s="422">
        <f>SUM(Q29:R29)</f>
        <v>57.194790180393589</v>
      </c>
      <c r="T29" s="354" t="e">
        <f>I29+L29+O29+P29+S29</f>
        <v>#REF!</v>
      </c>
    </row>
    <row r="30" spans="1:20" ht="15.75" x14ac:dyDescent="0.25">
      <c r="A30" s="317" t="s">
        <v>59</v>
      </c>
      <c r="B30" s="318" t="s">
        <v>60</v>
      </c>
      <c r="C30" s="341">
        <v>10</v>
      </c>
      <c r="D30" s="260">
        <v>10</v>
      </c>
      <c r="E30" s="260">
        <v>10</v>
      </c>
      <c r="F30" s="260">
        <v>10</v>
      </c>
      <c r="G30" s="260">
        <v>10</v>
      </c>
      <c r="H30" s="345">
        <v>10</v>
      </c>
      <c r="I30" s="388"/>
      <c r="J30" s="344">
        <v>10</v>
      </c>
      <c r="K30" s="342">
        <v>10</v>
      </c>
      <c r="L30" s="392">
        <v>10</v>
      </c>
      <c r="M30" s="393">
        <v>10</v>
      </c>
      <c r="N30" s="342">
        <v>10</v>
      </c>
      <c r="O30" s="392">
        <v>10</v>
      </c>
      <c r="P30" s="394">
        <v>18</v>
      </c>
      <c r="Q30" s="341">
        <v>10</v>
      </c>
      <c r="R30" s="345">
        <v>10</v>
      </c>
      <c r="S30" s="392">
        <v>10</v>
      </c>
      <c r="T30" s="390">
        <v>10</v>
      </c>
    </row>
    <row r="31" spans="1:20" ht="16.5" thickBot="1" x14ac:dyDescent="0.3">
      <c r="A31" s="285" t="s">
        <v>61</v>
      </c>
      <c r="B31" s="425" t="s">
        <v>40</v>
      </c>
      <c r="C31" s="426">
        <f t="shared" ref="C31:H31" si="16">4500/1.2</f>
        <v>3750</v>
      </c>
      <c r="D31" s="426">
        <f t="shared" si="16"/>
        <v>3750</v>
      </c>
      <c r="E31" s="426">
        <f t="shared" si="16"/>
        <v>3750</v>
      </c>
      <c r="F31" s="426">
        <f t="shared" si="16"/>
        <v>3750</v>
      </c>
      <c r="G31" s="426">
        <f t="shared" si="16"/>
        <v>3750</v>
      </c>
      <c r="H31" s="426">
        <f t="shared" si="16"/>
        <v>3750</v>
      </c>
      <c r="I31" s="427"/>
      <c r="J31" s="428">
        <v>4700</v>
      </c>
      <c r="K31" s="428">
        <v>4700</v>
      </c>
      <c r="L31" s="428">
        <v>4700</v>
      </c>
      <c r="M31" s="428">
        <f>[5]гуртовка!B15/1.2</f>
        <v>3903.75</v>
      </c>
      <c r="N31" s="428">
        <v>3903.75</v>
      </c>
      <c r="O31" s="428">
        <v>3903.75</v>
      </c>
      <c r="P31" s="428">
        <v>4700</v>
      </c>
      <c r="Q31" s="428">
        <v>4700</v>
      </c>
      <c r="R31" s="428">
        <v>4700</v>
      </c>
      <c r="S31" s="428">
        <v>4700</v>
      </c>
      <c r="T31" s="428">
        <v>4700</v>
      </c>
    </row>
    <row r="32" spans="1:20" ht="16.5" thickBot="1" x14ac:dyDescent="0.3">
      <c r="A32" s="429" t="s">
        <v>62</v>
      </c>
      <c r="B32" s="430" t="s">
        <v>43</v>
      </c>
      <c r="C32" s="431">
        <f t="shared" ref="C32:H32" si="17">C18*C31/1000</f>
        <v>125.183705509151</v>
      </c>
      <c r="D32" s="432">
        <f t="shared" si="17"/>
        <v>64.736253991940941</v>
      </c>
      <c r="E32" s="432">
        <f t="shared" si="17"/>
        <v>0</v>
      </c>
      <c r="F32" s="432">
        <f t="shared" si="17"/>
        <v>0</v>
      </c>
      <c r="G32" s="432">
        <f t="shared" si="17"/>
        <v>0</v>
      </c>
      <c r="H32" s="433">
        <f t="shared" si="17"/>
        <v>0</v>
      </c>
      <c r="I32" s="434">
        <f>SUM(C32:H32)</f>
        <v>189.91995950109194</v>
      </c>
      <c r="J32" s="435">
        <f>J18*J31/1000</f>
        <v>288.8239196532038</v>
      </c>
      <c r="K32" s="436">
        <f>K18*K31/1000</f>
        <v>102.13640676711968</v>
      </c>
      <c r="L32" s="437">
        <f>SUM(J32:K32)</f>
        <v>390.9603264203235</v>
      </c>
      <c r="M32" s="438" t="e">
        <f>M18*M31/1000</f>
        <v>#REF!</v>
      </c>
      <c r="N32" s="439" t="e">
        <f>N18*N31/1000</f>
        <v>#REF!</v>
      </c>
      <c r="O32" s="440" t="e">
        <f>SUM(M32:N32)</f>
        <v>#REF!</v>
      </c>
      <c r="P32" s="437">
        <f>P18*P31/1000</f>
        <v>1479.0259653989503</v>
      </c>
      <c r="Q32" s="441">
        <f>Q18*Q31/1000</f>
        <v>50.381213890726443</v>
      </c>
      <c r="R32" s="432">
        <f>R18*R31/1000</f>
        <v>97.522431717811799</v>
      </c>
      <c r="S32" s="440">
        <f>SUM(Q32:R32)</f>
        <v>147.90364560853823</v>
      </c>
      <c r="T32" s="442" t="e">
        <f>I32+L32+O32+P32+S32</f>
        <v>#REF!</v>
      </c>
    </row>
    <row r="33" spans="1:20" ht="16.5" thickBot="1" x14ac:dyDescent="0.3">
      <c r="A33" s="590" t="s">
        <v>69</v>
      </c>
      <c r="B33" s="587"/>
      <c r="C33" s="587"/>
      <c r="D33" s="587"/>
      <c r="E33" s="587"/>
      <c r="F33" s="587"/>
      <c r="G33" s="587"/>
      <c r="H33" s="587"/>
      <c r="I33" s="587"/>
      <c r="J33" s="587"/>
      <c r="K33" s="587"/>
      <c r="L33" s="587"/>
      <c r="M33" s="587"/>
      <c r="N33" s="587"/>
      <c r="O33" s="587"/>
      <c r="P33" s="587"/>
      <c r="Q33" s="587"/>
      <c r="R33" s="587"/>
      <c r="S33" s="587"/>
      <c r="T33" s="591"/>
    </row>
    <row r="34" spans="1:20" ht="31.5" x14ac:dyDescent="0.2">
      <c r="A34" s="443" t="s">
        <v>70</v>
      </c>
      <c r="B34" s="444" t="s">
        <v>31</v>
      </c>
      <c r="C34" s="445">
        <v>2.1999999999999999E-2</v>
      </c>
      <c r="D34" s="446">
        <v>2.1999999999999999E-2</v>
      </c>
      <c r="E34" s="446">
        <v>2.1999999999999999E-2</v>
      </c>
      <c r="F34" s="446">
        <v>2.1999999999999999E-2</v>
      </c>
      <c r="G34" s="446">
        <v>2.1999999999999999E-2</v>
      </c>
      <c r="H34" s="447">
        <v>2.1999999999999999E-2</v>
      </c>
      <c r="I34" s="448"/>
      <c r="J34" s="445">
        <v>2.1999999999999999E-2</v>
      </c>
      <c r="K34" s="447">
        <v>2.1999999999999999E-2</v>
      </c>
      <c r="L34" s="377">
        <v>2.1999999999999999E-2</v>
      </c>
      <c r="M34" s="446">
        <v>2.1999999999999999E-2</v>
      </c>
      <c r="N34" s="447">
        <v>2.1999999999999999E-2</v>
      </c>
      <c r="O34" s="449">
        <v>2.1999999999999999E-2</v>
      </c>
      <c r="P34" s="450">
        <v>2.1999999999999999E-2</v>
      </c>
      <c r="Q34" s="451">
        <v>2.1999999999999999E-2</v>
      </c>
      <c r="R34" s="452">
        <v>2.1999999999999999E-2</v>
      </c>
      <c r="S34" s="450">
        <v>2.1999999999999999E-2</v>
      </c>
      <c r="T34" s="449">
        <f>S34</f>
        <v>2.1999999999999999E-2</v>
      </c>
    </row>
    <row r="35" spans="1:20" ht="15.75" x14ac:dyDescent="0.25">
      <c r="A35" s="453" t="s">
        <v>54</v>
      </c>
      <c r="B35" s="454" t="s">
        <v>51</v>
      </c>
      <c r="C35" s="311">
        <f t="shared" ref="C35:H35" si="18">C9*C34</f>
        <v>61.28212150435597</v>
      </c>
      <c r="D35" s="246">
        <f t="shared" si="18"/>
        <v>33.178937275644017</v>
      </c>
      <c r="E35" s="246">
        <f t="shared" si="18"/>
        <v>0</v>
      </c>
      <c r="F35" s="246">
        <f t="shared" si="18"/>
        <v>0</v>
      </c>
      <c r="G35" s="246">
        <f t="shared" si="18"/>
        <v>0</v>
      </c>
      <c r="H35" s="310">
        <f t="shared" si="18"/>
        <v>0</v>
      </c>
      <c r="I35" s="343">
        <f>SUM(C35:H35)</f>
        <v>94.461058779999988</v>
      </c>
      <c r="J35" s="311">
        <f>J9*J34</f>
        <v>100.8868732780832</v>
      </c>
      <c r="K35" s="310">
        <f>K9*K34</f>
        <v>35.676486694611839</v>
      </c>
      <c r="L35" s="315">
        <f>SUM(J35:K35)</f>
        <v>136.56335997269503</v>
      </c>
      <c r="M35" s="246" t="e">
        <f>M9*M34</f>
        <v>#REF!</v>
      </c>
      <c r="N35" s="310" t="e">
        <f>N9*N34</f>
        <v>#REF!</v>
      </c>
      <c r="O35" s="392" t="e">
        <f>SUM(M35:N35)</f>
        <v>#REF!</v>
      </c>
      <c r="P35" s="394">
        <f>P9*P34</f>
        <v>71.791908911799993</v>
      </c>
      <c r="Q35" s="309">
        <f>Q9*Q34</f>
        <v>25.278523680970547</v>
      </c>
      <c r="R35" s="312">
        <f>R9*R34</f>
        <v>44.626219872843834</v>
      </c>
      <c r="S35" s="394">
        <f>SUM(Q35:R35)</f>
        <v>69.904743553814384</v>
      </c>
      <c r="T35" s="316" t="e">
        <f>I35+L35+O35+P35+S35</f>
        <v>#REF!</v>
      </c>
    </row>
    <row r="36" spans="1:20" ht="15.75" x14ac:dyDescent="0.2">
      <c r="A36" s="455" t="s">
        <v>61</v>
      </c>
      <c r="B36" s="456" t="s">
        <v>40</v>
      </c>
      <c r="C36" s="457">
        <f t="shared" ref="C36:H36" si="19">5500/1.2</f>
        <v>4583.3333333333339</v>
      </c>
      <c r="D36" s="457">
        <f t="shared" si="19"/>
        <v>4583.3333333333339</v>
      </c>
      <c r="E36" s="457">
        <f t="shared" si="19"/>
        <v>4583.3333333333339</v>
      </c>
      <c r="F36" s="457">
        <f t="shared" si="19"/>
        <v>4583.3333333333339</v>
      </c>
      <c r="G36" s="457">
        <f t="shared" si="19"/>
        <v>4583.3333333333339</v>
      </c>
      <c r="H36" s="457">
        <f t="shared" si="19"/>
        <v>4583.3333333333339</v>
      </c>
      <c r="I36" s="420"/>
      <c r="J36" s="420">
        <v>5400</v>
      </c>
      <c r="K36" s="420">
        <v>5400</v>
      </c>
      <c r="L36" s="423">
        <v>5400</v>
      </c>
      <c r="M36" s="261">
        <f>[5]гуртовка!B14/1.2</f>
        <v>4771.25</v>
      </c>
      <c r="N36" s="420">
        <f>M36</f>
        <v>4771.25</v>
      </c>
      <c r="O36" s="458">
        <f>N36</f>
        <v>4771.25</v>
      </c>
      <c r="P36" s="420">
        <v>5400</v>
      </c>
      <c r="Q36" s="420">
        <v>5400</v>
      </c>
      <c r="R36" s="420">
        <v>5400</v>
      </c>
      <c r="S36" s="420">
        <v>5400</v>
      </c>
      <c r="T36" s="420">
        <v>5400</v>
      </c>
    </row>
    <row r="37" spans="1:20" ht="16.5" thickBot="1" x14ac:dyDescent="0.3">
      <c r="A37" s="459" t="s">
        <v>62</v>
      </c>
      <c r="B37" s="460" t="s">
        <v>43</v>
      </c>
      <c r="C37" s="461">
        <f t="shared" ref="C37:H37" si="20">C35*C36/1000</f>
        <v>280.87639022829825</v>
      </c>
      <c r="D37" s="462">
        <f t="shared" si="20"/>
        <v>152.07012918003508</v>
      </c>
      <c r="E37" s="462">
        <f t="shared" si="20"/>
        <v>0</v>
      </c>
      <c r="F37" s="462">
        <f t="shared" si="20"/>
        <v>0</v>
      </c>
      <c r="G37" s="462">
        <f t="shared" si="20"/>
        <v>0</v>
      </c>
      <c r="H37" s="463">
        <f t="shared" si="20"/>
        <v>0</v>
      </c>
      <c r="I37" s="464">
        <f>SUM(C37:H37)</f>
        <v>432.9465194083333</v>
      </c>
      <c r="J37" s="461">
        <f>J35*J36/1000</f>
        <v>544.78911570164939</v>
      </c>
      <c r="K37" s="463">
        <f>K35*K36/1000</f>
        <v>192.65302815090394</v>
      </c>
      <c r="L37" s="365">
        <f>SUM(J37:K37)</f>
        <v>737.44214385255327</v>
      </c>
      <c r="M37" s="462" t="e">
        <f>M35*M36/1000</f>
        <v>#REF!</v>
      </c>
      <c r="N37" s="463" t="e">
        <f>N35*N36/1000</f>
        <v>#REF!</v>
      </c>
      <c r="O37" s="465" t="e">
        <f>SUM(M37:N37)</f>
        <v>#REF!</v>
      </c>
      <c r="P37" s="466">
        <f>P35*P36/1000</f>
        <v>387.67630812371993</v>
      </c>
      <c r="Q37" s="467">
        <f>Q35*Q36/1000</f>
        <v>136.50402787724096</v>
      </c>
      <c r="R37" s="468">
        <f>R35*R36/1000</f>
        <v>240.9815873133567</v>
      </c>
      <c r="S37" s="466">
        <f>SUM(Q37:R37)</f>
        <v>377.48561519059763</v>
      </c>
      <c r="T37" s="469" t="e">
        <f>I37+L37+O37+P37+S37</f>
        <v>#REF!</v>
      </c>
    </row>
    <row r="38" spans="1:20" ht="16.5" thickBot="1" x14ac:dyDescent="0.3">
      <c r="A38" s="470" t="s">
        <v>76</v>
      </c>
      <c r="B38" s="471" t="s">
        <v>77</v>
      </c>
      <c r="C38" s="370" t="e">
        <f>#REF!+#REF!</f>
        <v>#REF!</v>
      </c>
      <c r="D38" s="370" t="e">
        <f>#REF!+#REF!</f>
        <v>#REF!</v>
      </c>
      <c r="E38" s="370" t="e">
        <f>#REF!+#REF!</f>
        <v>#REF!</v>
      </c>
      <c r="F38" s="370" t="e">
        <f>#REF!+#REF!</f>
        <v>#REF!</v>
      </c>
      <c r="G38" s="370" t="e">
        <f>#REF!+#REF!</f>
        <v>#REF!</v>
      </c>
      <c r="H38" s="370" t="e">
        <f>#REF!+#REF!</f>
        <v>#REF!</v>
      </c>
      <c r="I38" s="472" t="e">
        <f>SUM(C38:H38)</f>
        <v>#REF!</v>
      </c>
      <c r="J38" s="373" t="e">
        <f>J16+J32+#REF!</f>
        <v>#REF!</v>
      </c>
      <c r="K38" s="371" t="e">
        <f>K16+K32+#REF!</f>
        <v>#REF!</v>
      </c>
      <c r="L38" s="473" t="e">
        <f>L16+L32+#REF!</f>
        <v>#REF!</v>
      </c>
      <c r="M38" s="473" t="e">
        <f>M16+M32+M37</f>
        <v>#REF!</v>
      </c>
      <c r="N38" s="473" t="e">
        <f>N16+N32+N37</f>
        <v>#REF!</v>
      </c>
      <c r="O38" s="473" t="e">
        <f>O16+O32+O37</f>
        <v>#REF!</v>
      </c>
      <c r="P38" s="474" t="e">
        <f>P16+P32+#REF!</f>
        <v>#REF!</v>
      </c>
      <c r="Q38" s="475" t="e">
        <f>Q16+Q32+#REF!</f>
        <v>#REF!</v>
      </c>
      <c r="R38" s="476" t="e">
        <f>R16+R32+#REF!</f>
        <v>#REF!</v>
      </c>
      <c r="S38" s="474" t="e">
        <f>S16+S32+#REF!</f>
        <v>#REF!</v>
      </c>
      <c r="T38" s="375" t="e">
        <f>T16+T32+#REF!</f>
        <v>#REF!</v>
      </c>
    </row>
    <row r="40" spans="1:20" ht="15.75" x14ac:dyDescent="0.25">
      <c r="A40" s="477" t="s">
        <v>78</v>
      </c>
      <c r="O40" s="478">
        <f>[5]гуртовка!C11/1.2</f>
        <v>1660.23885</v>
      </c>
    </row>
    <row r="41" spans="1:20" ht="15.75" x14ac:dyDescent="0.25">
      <c r="A41" s="477" t="s">
        <v>79</v>
      </c>
      <c r="O41" s="479" t="e">
        <f>O38+O40</f>
        <v>#REF!</v>
      </c>
    </row>
  </sheetData>
  <customSheetViews>
    <customSheetView guid="{4F83E3D9-05C9-45DD-BE29-5010E4EF885C}" scale="60" showPageBreaks="1" printArea="1" hiddenColumns="1" state="hidden" view="pageBreakPreview" topLeftCell="A4">
      <selection activeCell="C9" sqref="C9"/>
      <colBreaks count="1" manualBreakCount="1">
        <brk id="15" max="1048575" man="1"/>
      </colBreaks>
      <pageMargins left="1.1023622047244095" right="0.70866141732283472" top="0.74803149606299213" bottom="0.74803149606299213" header="0.31496062992125984" footer="0.31496062992125984"/>
      <pageSetup paperSize="9" scale="89" orientation="portrait" r:id="rId1"/>
    </customSheetView>
    <customSheetView guid="{E3DB1A70-74DD-44C5-A9A7-0FA1388C0D1F}" scale="60" showPageBreaks="1" printArea="1" hiddenColumns="1" state="hidden" view="pageBreakPreview" topLeftCell="A4">
      <selection activeCell="C9" sqref="C9"/>
      <colBreaks count="1" manualBreakCount="1">
        <brk id="15" max="1048575" man="1"/>
      </colBreaks>
      <pageMargins left="1.1023622047244095" right="0.70866141732283472" top="0.74803149606299213" bottom="0.74803149606299213" header="0.31496062992125984" footer="0.31496062992125984"/>
      <pageSetup paperSize="9" scale="89" orientation="portrait" r:id="rId2"/>
    </customSheetView>
  </customSheetViews>
  <mergeCells count="8">
    <mergeCell ref="A17:T17"/>
    <mergeCell ref="A33:T33"/>
    <mergeCell ref="A1:T1"/>
    <mergeCell ref="B4:I4"/>
    <mergeCell ref="J4:L4"/>
    <mergeCell ref="M4:O4"/>
    <mergeCell ref="Q4:S4"/>
    <mergeCell ref="A6:I6"/>
  </mergeCells>
  <pageMargins left="1.1023622047244095" right="0.70866141732283472" top="0.74803149606299213" bottom="0.74803149606299213" header="0.31496062992125984" footer="0.31496062992125984"/>
  <pageSetup paperSize="9" scale="89" orientation="portrait" r:id="rId3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WB41"/>
  <sheetViews>
    <sheetView view="pageBreakPreview" zoomScale="60" zoomScaleNormal="100" workbookViewId="0">
      <selection activeCell="C9" sqref="C9"/>
    </sheetView>
  </sheetViews>
  <sheetFormatPr defaultRowHeight="12.75" x14ac:dyDescent="0.2"/>
  <cols>
    <col min="1" max="1" width="28.7109375" style="230" customWidth="1"/>
    <col min="2" max="2" width="9.42578125" style="230" hidden="1" customWidth="1"/>
    <col min="3" max="8" width="9.140625" style="230" hidden="1" customWidth="1"/>
    <col min="9" max="9" width="10.42578125" style="230" hidden="1" customWidth="1"/>
    <col min="10" max="12" width="8.85546875" style="230" hidden="1" customWidth="1"/>
    <col min="13" max="13" width="12.7109375" style="230" customWidth="1"/>
    <col min="14" max="14" width="14.140625" style="230" customWidth="1"/>
    <col min="15" max="15" width="12.7109375" style="230" customWidth="1"/>
    <col min="16" max="19" width="8.85546875" style="230" hidden="1" customWidth="1"/>
    <col min="20" max="20" width="11.28515625" style="230" hidden="1" customWidth="1"/>
    <col min="21" max="256" width="9.140625" style="230"/>
    <col min="257" max="257" width="28.7109375" style="230" customWidth="1"/>
    <col min="258" max="268" width="9.140625" style="230" hidden="1" customWidth="1"/>
    <col min="269" max="269" width="12.7109375" style="230" customWidth="1"/>
    <col min="270" max="270" width="14.140625" style="230" customWidth="1"/>
    <col min="271" max="271" width="12.7109375" style="230" customWidth="1"/>
    <col min="272" max="276" width="9.140625" style="230" hidden="1" customWidth="1"/>
    <col min="277" max="512" width="9.140625" style="230"/>
    <col min="513" max="513" width="28.7109375" style="230" customWidth="1"/>
    <col min="514" max="524" width="9.140625" style="230" hidden="1" customWidth="1"/>
    <col min="525" max="525" width="12.7109375" style="230" customWidth="1"/>
    <col min="526" max="526" width="14.140625" style="230" customWidth="1"/>
    <col min="527" max="527" width="12.7109375" style="230" customWidth="1"/>
    <col min="528" max="532" width="9.140625" style="230" hidden="1" customWidth="1"/>
    <col min="533" max="768" width="9.140625" style="230"/>
    <col min="769" max="769" width="28.7109375" style="230" customWidth="1"/>
    <col min="770" max="780" width="9.140625" style="230" hidden="1" customWidth="1"/>
    <col min="781" max="781" width="12.7109375" style="230" customWidth="1"/>
    <col min="782" max="782" width="14.140625" style="230" customWidth="1"/>
    <col min="783" max="783" width="12.7109375" style="230" customWidth="1"/>
    <col min="784" max="788" width="9.140625" style="230" hidden="1" customWidth="1"/>
    <col min="789" max="1024" width="9.140625" style="230"/>
    <col min="1025" max="1025" width="28.7109375" style="230" customWidth="1"/>
    <col min="1026" max="1036" width="9.140625" style="230" hidden="1" customWidth="1"/>
    <col min="1037" max="1037" width="12.7109375" style="230" customWidth="1"/>
    <col min="1038" max="1038" width="14.140625" style="230" customWidth="1"/>
    <col min="1039" max="1039" width="12.7109375" style="230" customWidth="1"/>
    <col min="1040" max="1044" width="9.140625" style="230" hidden="1" customWidth="1"/>
    <col min="1045" max="1280" width="9.140625" style="230"/>
    <col min="1281" max="1281" width="28.7109375" style="230" customWidth="1"/>
    <col min="1282" max="1292" width="9.140625" style="230" hidden="1" customWidth="1"/>
    <col min="1293" max="1293" width="12.7109375" style="230" customWidth="1"/>
    <col min="1294" max="1294" width="14.140625" style="230" customWidth="1"/>
    <col min="1295" max="1295" width="12.7109375" style="230" customWidth="1"/>
    <col min="1296" max="1300" width="9.140625" style="230" hidden="1" customWidth="1"/>
    <col min="1301" max="1536" width="9.140625" style="230"/>
    <col min="1537" max="1537" width="28.7109375" style="230" customWidth="1"/>
    <col min="1538" max="1548" width="9.140625" style="230" hidden="1" customWidth="1"/>
    <col min="1549" max="1549" width="12.7109375" style="230" customWidth="1"/>
    <col min="1550" max="1550" width="14.140625" style="230" customWidth="1"/>
    <col min="1551" max="1551" width="12.7109375" style="230" customWidth="1"/>
    <col min="1552" max="1556" width="9.140625" style="230" hidden="1" customWidth="1"/>
    <col min="1557" max="1792" width="9.140625" style="230"/>
    <col min="1793" max="1793" width="28.7109375" style="230" customWidth="1"/>
    <col min="1794" max="1804" width="9.140625" style="230" hidden="1" customWidth="1"/>
    <col min="1805" max="1805" width="12.7109375" style="230" customWidth="1"/>
    <col min="1806" max="1806" width="14.140625" style="230" customWidth="1"/>
    <col min="1807" max="1807" width="12.7109375" style="230" customWidth="1"/>
    <col min="1808" max="1812" width="9.140625" style="230" hidden="1" customWidth="1"/>
    <col min="1813" max="2048" width="9.140625" style="230"/>
    <col min="2049" max="2049" width="28.7109375" style="230" customWidth="1"/>
    <col min="2050" max="2060" width="9.140625" style="230" hidden="1" customWidth="1"/>
    <col min="2061" max="2061" width="12.7109375" style="230" customWidth="1"/>
    <col min="2062" max="2062" width="14.140625" style="230" customWidth="1"/>
    <col min="2063" max="2063" width="12.7109375" style="230" customWidth="1"/>
    <col min="2064" max="2068" width="9.140625" style="230" hidden="1" customWidth="1"/>
    <col min="2069" max="2304" width="9.140625" style="230"/>
    <col min="2305" max="2305" width="28.7109375" style="230" customWidth="1"/>
    <col min="2306" max="2316" width="9.140625" style="230" hidden="1" customWidth="1"/>
    <col min="2317" max="2317" width="12.7109375" style="230" customWidth="1"/>
    <col min="2318" max="2318" width="14.140625" style="230" customWidth="1"/>
    <col min="2319" max="2319" width="12.7109375" style="230" customWidth="1"/>
    <col min="2320" max="2324" width="9.140625" style="230" hidden="1" customWidth="1"/>
    <col min="2325" max="2560" width="9.140625" style="230"/>
    <col min="2561" max="2561" width="28.7109375" style="230" customWidth="1"/>
    <col min="2562" max="2572" width="9.140625" style="230" hidden="1" customWidth="1"/>
    <col min="2573" max="2573" width="12.7109375" style="230" customWidth="1"/>
    <col min="2574" max="2574" width="14.140625" style="230" customWidth="1"/>
    <col min="2575" max="2575" width="12.7109375" style="230" customWidth="1"/>
    <col min="2576" max="2580" width="9.140625" style="230" hidden="1" customWidth="1"/>
    <col min="2581" max="2816" width="9.140625" style="230"/>
    <col min="2817" max="2817" width="28.7109375" style="230" customWidth="1"/>
    <col min="2818" max="2828" width="9.140625" style="230" hidden="1" customWidth="1"/>
    <col min="2829" max="2829" width="12.7109375" style="230" customWidth="1"/>
    <col min="2830" max="2830" width="14.140625" style="230" customWidth="1"/>
    <col min="2831" max="2831" width="12.7109375" style="230" customWidth="1"/>
    <col min="2832" max="2836" width="9.140625" style="230" hidden="1" customWidth="1"/>
    <col min="2837" max="3072" width="9.140625" style="230"/>
    <col min="3073" max="3073" width="28.7109375" style="230" customWidth="1"/>
    <col min="3074" max="3084" width="9.140625" style="230" hidden="1" customWidth="1"/>
    <col min="3085" max="3085" width="12.7109375" style="230" customWidth="1"/>
    <col min="3086" max="3086" width="14.140625" style="230" customWidth="1"/>
    <col min="3087" max="3087" width="12.7109375" style="230" customWidth="1"/>
    <col min="3088" max="3092" width="9.140625" style="230" hidden="1" customWidth="1"/>
    <col min="3093" max="3328" width="9.140625" style="230"/>
    <col min="3329" max="3329" width="28.7109375" style="230" customWidth="1"/>
    <col min="3330" max="3340" width="9.140625" style="230" hidden="1" customWidth="1"/>
    <col min="3341" max="3341" width="12.7109375" style="230" customWidth="1"/>
    <col min="3342" max="3342" width="14.140625" style="230" customWidth="1"/>
    <col min="3343" max="3343" width="12.7109375" style="230" customWidth="1"/>
    <col min="3344" max="3348" width="9.140625" style="230" hidden="1" customWidth="1"/>
    <col min="3349" max="3584" width="9.140625" style="230"/>
    <col min="3585" max="3585" width="28.7109375" style="230" customWidth="1"/>
    <col min="3586" max="3596" width="9.140625" style="230" hidden="1" customWidth="1"/>
    <col min="3597" max="3597" width="12.7109375" style="230" customWidth="1"/>
    <col min="3598" max="3598" width="14.140625" style="230" customWidth="1"/>
    <col min="3599" max="3599" width="12.7109375" style="230" customWidth="1"/>
    <col min="3600" max="3604" width="9.140625" style="230" hidden="1" customWidth="1"/>
    <col min="3605" max="3840" width="9.140625" style="230"/>
    <col min="3841" max="3841" width="28.7109375" style="230" customWidth="1"/>
    <col min="3842" max="3852" width="9.140625" style="230" hidden="1" customWidth="1"/>
    <col min="3853" max="3853" width="12.7109375" style="230" customWidth="1"/>
    <col min="3854" max="3854" width="14.140625" style="230" customWidth="1"/>
    <col min="3855" max="3855" width="12.7109375" style="230" customWidth="1"/>
    <col min="3856" max="3860" width="9.140625" style="230" hidden="1" customWidth="1"/>
    <col min="3861" max="4096" width="9.140625" style="230"/>
    <col min="4097" max="4097" width="28.7109375" style="230" customWidth="1"/>
    <col min="4098" max="4108" width="9.140625" style="230" hidden="1" customWidth="1"/>
    <col min="4109" max="4109" width="12.7109375" style="230" customWidth="1"/>
    <col min="4110" max="4110" width="14.140625" style="230" customWidth="1"/>
    <col min="4111" max="4111" width="12.7109375" style="230" customWidth="1"/>
    <col min="4112" max="4116" width="9.140625" style="230" hidden="1" customWidth="1"/>
    <col min="4117" max="4352" width="9.140625" style="230"/>
    <col min="4353" max="4353" width="28.7109375" style="230" customWidth="1"/>
    <col min="4354" max="4364" width="9.140625" style="230" hidden="1" customWidth="1"/>
    <col min="4365" max="4365" width="12.7109375" style="230" customWidth="1"/>
    <col min="4366" max="4366" width="14.140625" style="230" customWidth="1"/>
    <col min="4367" max="4367" width="12.7109375" style="230" customWidth="1"/>
    <col min="4368" max="4372" width="9.140625" style="230" hidden="1" customWidth="1"/>
    <col min="4373" max="4608" width="9.140625" style="230"/>
    <col min="4609" max="4609" width="28.7109375" style="230" customWidth="1"/>
    <col min="4610" max="4620" width="9.140625" style="230" hidden="1" customWidth="1"/>
    <col min="4621" max="4621" width="12.7109375" style="230" customWidth="1"/>
    <col min="4622" max="4622" width="14.140625" style="230" customWidth="1"/>
    <col min="4623" max="4623" width="12.7109375" style="230" customWidth="1"/>
    <col min="4624" max="4628" width="9.140625" style="230" hidden="1" customWidth="1"/>
    <col min="4629" max="4864" width="9.140625" style="230"/>
    <col min="4865" max="4865" width="28.7109375" style="230" customWidth="1"/>
    <col min="4866" max="4876" width="9.140625" style="230" hidden="1" customWidth="1"/>
    <col min="4877" max="4877" width="12.7109375" style="230" customWidth="1"/>
    <col min="4878" max="4878" width="14.140625" style="230" customWidth="1"/>
    <col min="4879" max="4879" width="12.7109375" style="230" customWidth="1"/>
    <col min="4880" max="4884" width="9.140625" style="230" hidden="1" customWidth="1"/>
    <col min="4885" max="5120" width="9.140625" style="230"/>
    <col min="5121" max="5121" width="28.7109375" style="230" customWidth="1"/>
    <col min="5122" max="5132" width="9.140625" style="230" hidden="1" customWidth="1"/>
    <col min="5133" max="5133" width="12.7109375" style="230" customWidth="1"/>
    <col min="5134" max="5134" width="14.140625" style="230" customWidth="1"/>
    <col min="5135" max="5135" width="12.7109375" style="230" customWidth="1"/>
    <col min="5136" max="5140" width="9.140625" style="230" hidden="1" customWidth="1"/>
    <col min="5141" max="5376" width="9.140625" style="230"/>
    <col min="5377" max="5377" width="28.7109375" style="230" customWidth="1"/>
    <col min="5378" max="5388" width="9.140625" style="230" hidden="1" customWidth="1"/>
    <col min="5389" max="5389" width="12.7109375" style="230" customWidth="1"/>
    <col min="5390" max="5390" width="14.140625" style="230" customWidth="1"/>
    <col min="5391" max="5391" width="12.7109375" style="230" customWidth="1"/>
    <col min="5392" max="5396" width="9.140625" style="230" hidden="1" customWidth="1"/>
    <col min="5397" max="5632" width="9.140625" style="230"/>
    <col min="5633" max="5633" width="28.7109375" style="230" customWidth="1"/>
    <col min="5634" max="5644" width="9.140625" style="230" hidden="1" customWidth="1"/>
    <col min="5645" max="5645" width="12.7109375" style="230" customWidth="1"/>
    <col min="5646" max="5646" width="14.140625" style="230" customWidth="1"/>
    <col min="5647" max="5647" width="12.7109375" style="230" customWidth="1"/>
    <col min="5648" max="5652" width="9.140625" style="230" hidden="1" customWidth="1"/>
    <col min="5653" max="5888" width="9.140625" style="230"/>
    <col min="5889" max="5889" width="28.7109375" style="230" customWidth="1"/>
    <col min="5890" max="5900" width="9.140625" style="230" hidden="1" customWidth="1"/>
    <col min="5901" max="5901" width="12.7109375" style="230" customWidth="1"/>
    <col min="5902" max="5902" width="14.140625" style="230" customWidth="1"/>
    <col min="5903" max="5903" width="12.7109375" style="230" customWidth="1"/>
    <col min="5904" max="5908" width="9.140625" style="230" hidden="1" customWidth="1"/>
    <col min="5909" max="6144" width="9.140625" style="230"/>
    <col min="6145" max="6145" width="28.7109375" style="230" customWidth="1"/>
    <col min="6146" max="6156" width="9.140625" style="230" hidden="1" customWidth="1"/>
    <col min="6157" max="6157" width="12.7109375" style="230" customWidth="1"/>
    <col min="6158" max="6158" width="14.140625" style="230" customWidth="1"/>
    <col min="6159" max="6159" width="12.7109375" style="230" customWidth="1"/>
    <col min="6160" max="6164" width="9.140625" style="230" hidden="1" customWidth="1"/>
    <col min="6165" max="6400" width="9.140625" style="230"/>
    <col min="6401" max="6401" width="28.7109375" style="230" customWidth="1"/>
    <col min="6402" max="6412" width="9.140625" style="230" hidden="1" customWidth="1"/>
    <col min="6413" max="6413" width="12.7109375" style="230" customWidth="1"/>
    <col min="6414" max="6414" width="14.140625" style="230" customWidth="1"/>
    <col min="6415" max="6415" width="12.7109375" style="230" customWidth="1"/>
    <col min="6416" max="6420" width="9.140625" style="230" hidden="1" customWidth="1"/>
    <col min="6421" max="6656" width="9.140625" style="230"/>
    <col min="6657" max="6657" width="28.7109375" style="230" customWidth="1"/>
    <col min="6658" max="6668" width="9.140625" style="230" hidden="1" customWidth="1"/>
    <col min="6669" max="6669" width="12.7109375" style="230" customWidth="1"/>
    <col min="6670" max="6670" width="14.140625" style="230" customWidth="1"/>
    <col min="6671" max="6671" width="12.7109375" style="230" customWidth="1"/>
    <col min="6672" max="6676" width="9.140625" style="230" hidden="1" customWidth="1"/>
    <col min="6677" max="6912" width="9.140625" style="230"/>
    <col min="6913" max="6913" width="28.7109375" style="230" customWidth="1"/>
    <col min="6914" max="6924" width="9.140625" style="230" hidden="1" customWidth="1"/>
    <col min="6925" max="6925" width="12.7109375" style="230" customWidth="1"/>
    <col min="6926" max="6926" width="14.140625" style="230" customWidth="1"/>
    <col min="6927" max="6927" width="12.7109375" style="230" customWidth="1"/>
    <col min="6928" max="6932" width="9.140625" style="230" hidden="1" customWidth="1"/>
    <col min="6933" max="7168" width="9.140625" style="230"/>
    <col min="7169" max="7169" width="28.7109375" style="230" customWidth="1"/>
    <col min="7170" max="7180" width="9.140625" style="230" hidden="1" customWidth="1"/>
    <col min="7181" max="7181" width="12.7109375" style="230" customWidth="1"/>
    <col min="7182" max="7182" width="14.140625" style="230" customWidth="1"/>
    <col min="7183" max="7183" width="12.7109375" style="230" customWidth="1"/>
    <col min="7184" max="7188" width="9.140625" style="230" hidden="1" customWidth="1"/>
    <col min="7189" max="7424" width="9.140625" style="230"/>
    <col min="7425" max="7425" width="28.7109375" style="230" customWidth="1"/>
    <col min="7426" max="7436" width="9.140625" style="230" hidden="1" customWidth="1"/>
    <col min="7437" max="7437" width="12.7109375" style="230" customWidth="1"/>
    <col min="7438" max="7438" width="14.140625" style="230" customWidth="1"/>
    <col min="7439" max="7439" width="12.7109375" style="230" customWidth="1"/>
    <col min="7440" max="7444" width="9.140625" style="230" hidden="1" customWidth="1"/>
    <col min="7445" max="7680" width="9.140625" style="230"/>
    <col min="7681" max="7681" width="28.7109375" style="230" customWidth="1"/>
    <col min="7682" max="7692" width="9.140625" style="230" hidden="1" customWidth="1"/>
    <col min="7693" max="7693" width="12.7109375" style="230" customWidth="1"/>
    <col min="7694" max="7694" width="14.140625" style="230" customWidth="1"/>
    <col min="7695" max="7695" width="12.7109375" style="230" customWidth="1"/>
    <col min="7696" max="7700" width="9.140625" style="230" hidden="1" customWidth="1"/>
    <col min="7701" max="7936" width="9.140625" style="230"/>
    <col min="7937" max="7937" width="28.7109375" style="230" customWidth="1"/>
    <col min="7938" max="7948" width="9.140625" style="230" hidden="1" customWidth="1"/>
    <col min="7949" max="7949" width="12.7109375" style="230" customWidth="1"/>
    <col min="7950" max="7950" width="14.140625" style="230" customWidth="1"/>
    <col min="7951" max="7951" width="12.7109375" style="230" customWidth="1"/>
    <col min="7952" max="7956" width="9.140625" style="230" hidden="1" customWidth="1"/>
    <col min="7957" max="8192" width="9.140625" style="230"/>
    <col min="8193" max="8193" width="28.7109375" style="230" customWidth="1"/>
    <col min="8194" max="8204" width="9.140625" style="230" hidden="1" customWidth="1"/>
    <col min="8205" max="8205" width="12.7109375" style="230" customWidth="1"/>
    <col min="8206" max="8206" width="14.140625" style="230" customWidth="1"/>
    <col min="8207" max="8207" width="12.7109375" style="230" customWidth="1"/>
    <col min="8208" max="8212" width="9.140625" style="230" hidden="1" customWidth="1"/>
    <col min="8213" max="8448" width="9.140625" style="230"/>
    <col min="8449" max="8449" width="28.7109375" style="230" customWidth="1"/>
    <col min="8450" max="8460" width="9.140625" style="230" hidden="1" customWidth="1"/>
    <col min="8461" max="8461" width="12.7109375" style="230" customWidth="1"/>
    <col min="8462" max="8462" width="14.140625" style="230" customWidth="1"/>
    <col min="8463" max="8463" width="12.7109375" style="230" customWidth="1"/>
    <col min="8464" max="8468" width="9.140625" style="230" hidden="1" customWidth="1"/>
    <col min="8469" max="8704" width="9.140625" style="230"/>
    <col min="8705" max="8705" width="28.7109375" style="230" customWidth="1"/>
    <col min="8706" max="8716" width="9.140625" style="230" hidden="1" customWidth="1"/>
    <col min="8717" max="8717" width="12.7109375" style="230" customWidth="1"/>
    <col min="8718" max="8718" width="14.140625" style="230" customWidth="1"/>
    <col min="8719" max="8719" width="12.7109375" style="230" customWidth="1"/>
    <col min="8720" max="8724" width="9.140625" style="230" hidden="1" customWidth="1"/>
    <col min="8725" max="8960" width="9.140625" style="230"/>
    <col min="8961" max="8961" width="28.7109375" style="230" customWidth="1"/>
    <col min="8962" max="8972" width="9.140625" style="230" hidden="1" customWidth="1"/>
    <col min="8973" max="8973" width="12.7109375" style="230" customWidth="1"/>
    <col min="8974" max="8974" width="14.140625" style="230" customWidth="1"/>
    <col min="8975" max="8975" width="12.7109375" style="230" customWidth="1"/>
    <col min="8976" max="8980" width="9.140625" style="230" hidden="1" customWidth="1"/>
    <col min="8981" max="9216" width="9.140625" style="230"/>
    <col min="9217" max="9217" width="28.7109375" style="230" customWidth="1"/>
    <col min="9218" max="9228" width="9.140625" style="230" hidden="1" customWidth="1"/>
    <col min="9229" max="9229" width="12.7109375" style="230" customWidth="1"/>
    <col min="9230" max="9230" width="14.140625" style="230" customWidth="1"/>
    <col min="9231" max="9231" width="12.7109375" style="230" customWidth="1"/>
    <col min="9232" max="9236" width="9.140625" style="230" hidden="1" customWidth="1"/>
    <col min="9237" max="9472" width="9.140625" style="230"/>
    <col min="9473" max="9473" width="28.7109375" style="230" customWidth="1"/>
    <col min="9474" max="9484" width="9.140625" style="230" hidden="1" customWidth="1"/>
    <col min="9485" max="9485" width="12.7109375" style="230" customWidth="1"/>
    <col min="9486" max="9486" width="14.140625" style="230" customWidth="1"/>
    <col min="9487" max="9487" width="12.7109375" style="230" customWidth="1"/>
    <col min="9488" max="9492" width="9.140625" style="230" hidden="1" customWidth="1"/>
    <col min="9493" max="9728" width="9.140625" style="230"/>
    <col min="9729" max="9729" width="28.7109375" style="230" customWidth="1"/>
    <col min="9730" max="9740" width="9.140625" style="230" hidden="1" customWidth="1"/>
    <col min="9741" max="9741" width="12.7109375" style="230" customWidth="1"/>
    <col min="9742" max="9742" width="14.140625" style="230" customWidth="1"/>
    <col min="9743" max="9743" width="12.7109375" style="230" customWidth="1"/>
    <col min="9744" max="9748" width="9.140625" style="230" hidden="1" customWidth="1"/>
    <col min="9749" max="9984" width="9.140625" style="230"/>
    <col min="9985" max="9985" width="28.7109375" style="230" customWidth="1"/>
    <col min="9986" max="9996" width="9.140625" style="230" hidden="1" customWidth="1"/>
    <col min="9997" max="9997" width="12.7109375" style="230" customWidth="1"/>
    <col min="9998" max="9998" width="14.140625" style="230" customWidth="1"/>
    <col min="9999" max="9999" width="12.7109375" style="230" customWidth="1"/>
    <col min="10000" max="10004" width="9.140625" style="230" hidden="1" customWidth="1"/>
    <col min="10005" max="10240" width="9.140625" style="230"/>
    <col min="10241" max="10241" width="28.7109375" style="230" customWidth="1"/>
    <col min="10242" max="10252" width="9.140625" style="230" hidden="1" customWidth="1"/>
    <col min="10253" max="10253" width="12.7109375" style="230" customWidth="1"/>
    <col min="10254" max="10254" width="14.140625" style="230" customWidth="1"/>
    <col min="10255" max="10255" width="12.7109375" style="230" customWidth="1"/>
    <col min="10256" max="10260" width="9.140625" style="230" hidden="1" customWidth="1"/>
    <col min="10261" max="10496" width="9.140625" style="230"/>
    <col min="10497" max="10497" width="28.7109375" style="230" customWidth="1"/>
    <col min="10498" max="10508" width="9.140625" style="230" hidden="1" customWidth="1"/>
    <col min="10509" max="10509" width="12.7109375" style="230" customWidth="1"/>
    <col min="10510" max="10510" width="14.140625" style="230" customWidth="1"/>
    <col min="10511" max="10511" width="12.7109375" style="230" customWidth="1"/>
    <col min="10512" max="10516" width="9.140625" style="230" hidden="1" customWidth="1"/>
    <col min="10517" max="10752" width="9.140625" style="230"/>
    <col min="10753" max="10753" width="28.7109375" style="230" customWidth="1"/>
    <col min="10754" max="10764" width="9.140625" style="230" hidden="1" customWidth="1"/>
    <col min="10765" max="10765" width="12.7109375" style="230" customWidth="1"/>
    <col min="10766" max="10766" width="14.140625" style="230" customWidth="1"/>
    <col min="10767" max="10767" width="12.7109375" style="230" customWidth="1"/>
    <col min="10768" max="10772" width="9.140625" style="230" hidden="1" customWidth="1"/>
    <col min="10773" max="11008" width="9.140625" style="230"/>
    <col min="11009" max="11009" width="28.7109375" style="230" customWidth="1"/>
    <col min="11010" max="11020" width="9.140625" style="230" hidden="1" customWidth="1"/>
    <col min="11021" max="11021" width="12.7109375" style="230" customWidth="1"/>
    <col min="11022" max="11022" width="14.140625" style="230" customWidth="1"/>
    <col min="11023" max="11023" width="12.7109375" style="230" customWidth="1"/>
    <col min="11024" max="11028" width="9.140625" style="230" hidden="1" customWidth="1"/>
    <col min="11029" max="11264" width="9.140625" style="230"/>
    <col min="11265" max="11265" width="28.7109375" style="230" customWidth="1"/>
    <col min="11266" max="11276" width="9.140625" style="230" hidden="1" customWidth="1"/>
    <col min="11277" max="11277" width="12.7109375" style="230" customWidth="1"/>
    <col min="11278" max="11278" width="14.140625" style="230" customWidth="1"/>
    <col min="11279" max="11279" width="12.7109375" style="230" customWidth="1"/>
    <col min="11280" max="11284" width="9.140625" style="230" hidden="1" customWidth="1"/>
    <col min="11285" max="11520" width="9.140625" style="230"/>
    <col min="11521" max="11521" width="28.7109375" style="230" customWidth="1"/>
    <col min="11522" max="11532" width="9.140625" style="230" hidden="1" customWidth="1"/>
    <col min="11533" max="11533" width="12.7109375" style="230" customWidth="1"/>
    <col min="11534" max="11534" width="14.140625" style="230" customWidth="1"/>
    <col min="11535" max="11535" width="12.7109375" style="230" customWidth="1"/>
    <col min="11536" max="11540" width="9.140625" style="230" hidden="1" customWidth="1"/>
    <col min="11541" max="11776" width="9.140625" style="230"/>
    <col min="11777" max="11777" width="28.7109375" style="230" customWidth="1"/>
    <col min="11778" max="11788" width="9.140625" style="230" hidden="1" customWidth="1"/>
    <col min="11789" max="11789" width="12.7109375" style="230" customWidth="1"/>
    <col min="11790" max="11790" width="14.140625" style="230" customWidth="1"/>
    <col min="11791" max="11791" width="12.7109375" style="230" customWidth="1"/>
    <col min="11792" max="11796" width="9.140625" style="230" hidden="1" customWidth="1"/>
    <col min="11797" max="12032" width="9.140625" style="230"/>
    <col min="12033" max="12033" width="28.7109375" style="230" customWidth="1"/>
    <col min="12034" max="12044" width="9.140625" style="230" hidden="1" customWidth="1"/>
    <col min="12045" max="12045" width="12.7109375" style="230" customWidth="1"/>
    <col min="12046" max="12046" width="14.140625" style="230" customWidth="1"/>
    <col min="12047" max="12047" width="12.7109375" style="230" customWidth="1"/>
    <col min="12048" max="12052" width="9.140625" style="230" hidden="1" customWidth="1"/>
    <col min="12053" max="12288" width="9.140625" style="230"/>
    <col min="12289" max="12289" width="28.7109375" style="230" customWidth="1"/>
    <col min="12290" max="12300" width="9.140625" style="230" hidden="1" customWidth="1"/>
    <col min="12301" max="12301" width="12.7109375" style="230" customWidth="1"/>
    <col min="12302" max="12302" width="14.140625" style="230" customWidth="1"/>
    <col min="12303" max="12303" width="12.7109375" style="230" customWidth="1"/>
    <col min="12304" max="12308" width="9.140625" style="230" hidden="1" customWidth="1"/>
    <col min="12309" max="12544" width="9.140625" style="230"/>
    <col min="12545" max="12545" width="28.7109375" style="230" customWidth="1"/>
    <col min="12546" max="12556" width="9.140625" style="230" hidden="1" customWidth="1"/>
    <col min="12557" max="12557" width="12.7109375" style="230" customWidth="1"/>
    <col min="12558" max="12558" width="14.140625" style="230" customWidth="1"/>
    <col min="12559" max="12559" width="12.7109375" style="230" customWidth="1"/>
    <col min="12560" max="12564" width="9.140625" style="230" hidden="1" customWidth="1"/>
    <col min="12565" max="12800" width="9.140625" style="230"/>
    <col min="12801" max="12801" width="28.7109375" style="230" customWidth="1"/>
    <col min="12802" max="12812" width="9.140625" style="230" hidden="1" customWidth="1"/>
    <col min="12813" max="12813" width="12.7109375" style="230" customWidth="1"/>
    <col min="12814" max="12814" width="14.140625" style="230" customWidth="1"/>
    <col min="12815" max="12815" width="12.7109375" style="230" customWidth="1"/>
    <col min="12816" max="12820" width="9.140625" style="230" hidden="1" customWidth="1"/>
    <col min="12821" max="13056" width="9.140625" style="230"/>
    <col min="13057" max="13057" width="28.7109375" style="230" customWidth="1"/>
    <col min="13058" max="13068" width="9.140625" style="230" hidden="1" customWidth="1"/>
    <col min="13069" max="13069" width="12.7109375" style="230" customWidth="1"/>
    <col min="13070" max="13070" width="14.140625" style="230" customWidth="1"/>
    <col min="13071" max="13071" width="12.7109375" style="230" customWidth="1"/>
    <col min="13072" max="13076" width="9.140625" style="230" hidden="1" customWidth="1"/>
    <col min="13077" max="13312" width="9.140625" style="230"/>
    <col min="13313" max="13313" width="28.7109375" style="230" customWidth="1"/>
    <col min="13314" max="13324" width="9.140625" style="230" hidden="1" customWidth="1"/>
    <col min="13325" max="13325" width="12.7109375" style="230" customWidth="1"/>
    <col min="13326" max="13326" width="14.140625" style="230" customWidth="1"/>
    <col min="13327" max="13327" width="12.7109375" style="230" customWidth="1"/>
    <col min="13328" max="13332" width="9.140625" style="230" hidden="1" customWidth="1"/>
    <col min="13333" max="13568" width="9.140625" style="230"/>
    <col min="13569" max="13569" width="28.7109375" style="230" customWidth="1"/>
    <col min="13570" max="13580" width="9.140625" style="230" hidden="1" customWidth="1"/>
    <col min="13581" max="13581" width="12.7109375" style="230" customWidth="1"/>
    <col min="13582" max="13582" width="14.140625" style="230" customWidth="1"/>
    <col min="13583" max="13583" width="12.7109375" style="230" customWidth="1"/>
    <col min="13584" max="13588" width="9.140625" style="230" hidden="1" customWidth="1"/>
    <col min="13589" max="13824" width="9.140625" style="230"/>
    <col min="13825" max="13825" width="28.7109375" style="230" customWidth="1"/>
    <col min="13826" max="13836" width="9.140625" style="230" hidden="1" customWidth="1"/>
    <col min="13837" max="13837" width="12.7109375" style="230" customWidth="1"/>
    <col min="13838" max="13838" width="14.140625" style="230" customWidth="1"/>
    <col min="13839" max="13839" width="12.7109375" style="230" customWidth="1"/>
    <col min="13840" max="13844" width="9.140625" style="230" hidden="1" customWidth="1"/>
    <col min="13845" max="14080" width="9.140625" style="230"/>
    <col min="14081" max="14081" width="28.7109375" style="230" customWidth="1"/>
    <col min="14082" max="14092" width="9.140625" style="230" hidden="1" customWidth="1"/>
    <col min="14093" max="14093" width="12.7109375" style="230" customWidth="1"/>
    <col min="14094" max="14094" width="14.140625" style="230" customWidth="1"/>
    <col min="14095" max="14095" width="12.7109375" style="230" customWidth="1"/>
    <col min="14096" max="14100" width="9.140625" style="230" hidden="1" customWidth="1"/>
    <col min="14101" max="14336" width="9.140625" style="230"/>
    <col min="14337" max="14337" width="28.7109375" style="230" customWidth="1"/>
    <col min="14338" max="14348" width="9.140625" style="230" hidden="1" customWidth="1"/>
    <col min="14349" max="14349" width="12.7109375" style="230" customWidth="1"/>
    <col min="14350" max="14350" width="14.140625" style="230" customWidth="1"/>
    <col min="14351" max="14351" width="12.7109375" style="230" customWidth="1"/>
    <col min="14352" max="14356" width="9.140625" style="230" hidden="1" customWidth="1"/>
    <col min="14357" max="14592" width="9.140625" style="230"/>
    <col min="14593" max="14593" width="28.7109375" style="230" customWidth="1"/>
    <col min="14594" max="14604" width="9.140625" style="230" hidden="1" customWidth="1"/>
    <col min="14605" max="14605" width="12.7109375" style="230" customWidth="1"/>
    <col min="14606" max="14606" width="14.140625" style="230" customWidth="1"/>
    <col min="14607" max="14607" width="12.7109375" style="230" customWidth="1"/>
    <col min="14608" max="14612" width="9.140625" style="230" hidden="1" customWidth="1"/>
    <col min="14613" max="14848" width="9.140625" style="230"/>
    <col min="14849" max="14849" width="28.7109375" style="230" customWidth="1"/>
    <col min="14850" max="14860" width="9.140625" style="230" hidden="1" customWidth="1"/>
    <col min="14861" max="14861" width="12.7109375" style="230" customWidth="1"/>
    <col min="14862" max="14862" width="14.140625" style="230" customWidth="1"/>
    <col min="14863" max="14863" width="12.7109375" style="230" customWidth="1"/>
    <col min="14864" max="14868" width="9.140625" style="230" hidden="1" customWidth="1"/>
    <col min="14869" max="15104" width="9.140625" style="230"/>
    <col min="15105" max="15105" width="28.7109375" style="230" customWidth="1"/>
    <col min="15106" max="15116" width="9.140625" style="230" hidden="1" customWidth="1"/>
    <col min="15117" max="15117" width="12.7109375" style="230" customWidth="1"/>
    <col min="15118" max="15118" width="14.140625" style="230" customWidth="1"/>
    <col min="15119" max="15119" width="12.7109375" style="230" customWidth="1"/>
    <col min="15120" max="15124" width="9.140625" style="230" hidden="1" customWidth="1"/>
    <col min="15125" max="15360" width="9.140625" style="230"/>
    <col min="15361" max="15361" width="28.7109375" style="230" customWidth="1"/>
    <col min="15362" max="15372" width="9.140625" style="230" hidden="1" customWidth="1"/>
    <col min="15373" max="15373" width="12.7109375" style="230" customWidth="1"/>
    <col min="15374" max="15374" width="14.140625" style="230" customWidth="1"/>
    <col min="15375" max="15375" width="12.7109375" style="230" customWidth="1"/>
    <col min="15376" max="15380" width="9.140625" style="230" hidden="1" customWidth="1"/>
    <col min="15381" max="15616" width="9.140625" style="230"/>
    <col min="15617" max="15617" width="28.7109375" style="230" customWidth="1"/>
    <col min="15618" max="15628" width="9.140625" style="230" hidden="1" customWidth="1"/>
    <col min="15629" max="15629" width="12.7109375" style="230" customWidth="1"/>
    <col min="15630" max="15630" width="14.140625" style="230" customWidth="1"/>
    <col min="15631" max="15631" width="12.7109375" style="230" customWidth="1"/>
    <col min="15632" max="15636" width="9.140625" style="230" hidden="1" customWidth="1"/>
    <col min="15637" max="15872" width="9.140625" style="230"/>
    <col min="15873" max="15873" width="28.7109375" style="230" customWidth="1"/>
    <col min="15874" max="15884" width="9.140625" style="230" hidden="1" customWidth="1"/>
    <col min="15885" max="15885" width="12.7109375" style="230" customWidth="1"/>
    <col min="15886" max="15886" width="14.140625" style="230" customWidth="1"/>
    <col min="15887" max="15887" width="12.7109375" style="230" customWidth="1"/>
    <col min="15888" max="15892" width="9.140625" style="230" hidden="1" customWidth="1"/>
    <col min="15893" max="16128" width="9.140625" style="230"/>
    <col min="16129" max="16129" width="28.7109375" style="230" customWidth="1"/>
    <col min="16130" max="16140" width="9.140625" style="230" hidden="1" customWidth="1"/>
    <col min="16141" max="16141" width="12.7109375" style="230" customWidth="1"/>
    <col min="16142" max="16142" width="14.140625" style="230" customWidth="1"/>
    <col min="16143" max="16143" width="12.7109375" style="230" customWidth="1"/>
    <col min="16144" max="16148" width="9.140625" style="230" hidden="1" customWidth="1"/>
    <col min="16149" max="16384" width="9.140625" style="230"/>
  </cols>
  <sheetData>
    <row r="1" spans="1:23" ht="15.75" x14ac:dyDescent="0.25">
      <c r="A1" s="583" t="s">
        <v>3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</row>
    <row r="2" spans="1:23" ht="15.75" x14ac:dyDescent="0.25">
      <c r="A2" s="231"/>
      <c r="B2" s="232"/>
      <c r="C2" s="232"/>
      <c r="D2" s="232"/>
      <c r="E2" s="232"/>
      <c r="F2" s="232"/>
      <c r="G2" s="232"/>
      <c r="H2" s="232"/>
      <c r="I2" s="233"/>
      <c r="J2" s="232"/>
      <c r="K2" s="232"/>
      <c r="L2" s="233"/>
      <c r="M2" s="232"/>
      <c r="N2" s="232"/>
      <c r="O2" s="233"/>
      <c r="P2" s="233"/>
      <c r="Q2" s="232"/>
      <c r="R2" s="232"/>
      <c r="S2" s="232"/>
      <c r="T2" s="233"/>
      <c r="V2" s="230">
        <v>0.64875539503619339</v>
      </c>
      <c r="W2" s="230">
        <v>0.35124460496380666</v>
      </c>
    </row>
    <row r="3" spans="1:23" ht="15.75" thickBot="1" x14ac:dyDescent="0.3">
      <c r="A3" s="234"/>
      <c r="B3" s="235"/>
      <c r="C3" s="235"/>
      <c r="D3" s="235"/>
      <c r="E3" s="235"/>
      <c r="F3" s="235"/>
      <c r="G3" s="235"/>
      <c r="H3" s="235"/>
      <c r="I3" s="236"/>
      <c r="J3" s="235"/>
      <c r="K3" s="235"/>
      <c r="L3" s="236"/>
      <c r="M3" s="235"/>
      <c r="N3" s="235"/>
      <c r="O3" s="236"/>
      <c r="P3" s="236"/>
      <c r="Q3" s="235"/>
      <c r="R3" s="235"/>
      <c r="S3" s="235"/>
      <c r="T3" s="236"/>
    </row>
    <row r="4" spans="1:23" ht="16.5" thickBot="1" x14ac:dyDescent="0.3">
      <c r="A4" s="283" t="s">
        <v>4</v>
      </c>
      <c r="B4" s="592" t="s">
        <v>5</v>
      </c>
      <c r="C4" s="593"/>
      <c r="D4" s="593"/>
      <c r="E4" s="593"/>
      <c r="F4" s="593"/>
      <c r="G4" s="593"/>
      <c r="H4" s="593"/>
      <c r="I4" s="594"/>
      <c r="J4" s="595" t="s">
        <v>6</v>
      </c>
      <c r="K4" s="596"/>
      <c r="L4" s="597"/>
      <c r="M4" s="595" t="s">
        <v>7</v>
      </c>
      <c r="N4" s="596"/>
      <c r="O4" s="597"/>
      <c r="P4" s="283" t="s">
        <v>8</v>
      </c>
      <c r="Q4" s="595" t="s">
        <v>9</v>
      </c>
      <c r="R4" s="596"/>
      <c r="S4" s="597"/>
      <c r="T4" s="284"/>
    </row>
    <row r="5" spans="1:23" ht="15.75" x14ac:dyDescent="0.25">
      <c r="A5" s="285"/>
      <c r="B5" s="286" t="s">
        <v>10</v>
      </c>
      <c r="C5" s="287" t="s">
        <v>11</v>
      </c>
      <c r="D5" s="288" t="s">
        <v>12</v>
      </c>
      <c r="E5" s="288" t="s">
        <v>13</v>
      </c>
      <c r="F5" s="288" t="s">
        <v>14</v>
      </c>
      <c r="G5" s="288" t="s">
        <v>15</v>
      </c>
      <c r="H5" s="289" t="s">
        <v>16</v>
      </c>
      <c r="I5" s="290" t="s">
        <v>17</v>
      </c>
      <c r="J5" s="287" t="s">
        <v>18</v>
      </c>
      <c r="K5" s="289" t="s">
        <v>19</v>
      </c>
      <c r="L5" s="290" t="s">
        <v>20</v>
      </c>
      <c r="M5" s="287" t="s">
        <v>21</v>
      </c>
      <c r="N5" s="289" t="s">
        <v>22</v>
      </c>
      <c r="O5" s="290" t="s">
        <v>20</v>
      </c>
      <c r="P5" s="291" t="s">
        <v>23</v>
      </c>
      <c r="Q5" s="287" t="s">
        <v>24</v>
      </c>
      <c r="R5" s="289" t="s">
        <v>25</v>
      </c>
      <c r="S5" s="292" t="s">
        <v>20</v>
      </c>
      <c r="T5" s="291" t="s">
        <v>26</v>
      </c>
    </row>
    <row r="6" spans="1:23" ht="15.75" x14ac:dyDescent="0.25">
      <c r="A6" s="598" t="s">
        <v>27</v>
      </c>
      <c r="B6" s="599"/>
      <c r="C6" s="599"/>
      <c r="D6" s="599"/>
      <c r="E6" s="599"/>
      <c r="F6" s="599"/>
      <c r="G6" s="599"/>
      <c r="H6" s="599"/>
      <c r="I6" s="600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</row>
    <row r="7" spans="1:23" ht="31.15" customHeight="1" x14ac:dyDescent="0.25">
      <c r="A7" s="293" t="s">
        <v>28</v>
      </c>
      <c r="B7" s="294" t="s">
        <v>29</v>
      </c>
      <c r="C7" s="295">
        <v>1.6400000000000001E-2</v>
      </c>
      <c r="D7" s="296">
        <v>1.6400000000000001E-2</v>
      </c>
      <c r="E7" s="296">
        <v>1.6400000000000001E-2</v>
      </c>
      <c r="F7" s="296">
        <v>1.6400000000000001E-2</v>
      </c>
      <c r="G7" s="296">
        <v>1.6400000000000001E-2</v>
      </c>
      <c r="H7" s="297">
        <v>1.6400000000000001E-2</v>
      </c>
      <c r="I7" s="244"/>
      <c r="J7" s="298">
        <v>1.6400000000000001E-2</v>
      </c>
      <c r="K7" s="299">
        <v>1.6400000000000001E-2</v>
      </c>
      <c r="L7" s="300"/>
      <c r="M7" s="295">
        <v>1.6400000000000001E-2</v>
      </c>
      <c r="N7" s="301">
        <v>1.6400000000000001E-2</v>
      </c>
      <c r="O7" s="302"/>
      <c r="P7" s="303">
        <v>1.6400000000000001E-2</v>
      </c>
      <c r="Q7" s="304">
        <v>1.6400000000000001E-2</v>
      </c>
      <c r="R7" s="299">
        <v>1.6400000000000001E-2</v>
      </c>
      <c r="S7" s="305"/>
      <c r="T7" s="306"/>
    </row>
    <row r="8" spans="1:23" ht="15.75" x14ac:dyDescent="0.25">
      <c r="A8" s="307" t="s">
        <v>30</v>
      </c>
      <c r="B8" s="308" t="s">
        <v>31</v>
      </c>
      <c r="C8" s="309">
        <f t="shared" ref="C8:H8" si="0">C7*C9</f>
        <v>45.683036030519915</v>
      </c>
      <c r="D8" s="246">
        <f t="shared" si="0"/>
        <v>24.733389605480088</v>
      </c>
      <c r="E8" s="246">
        <f t="shared" si="0"/>
        <v>0</v>
      </c>
      <c r="F8" s="246">
        <f t="shared" si="0"/>
        <v>0</v>
      </c>
      <c r="G8" s="246">
        <f t="shared" si="0"/>
        <v>0</v>
      </c>
      <c r="H8" s="310">
        <f t="shared" si="0"/>
        <v>0</v>
      </c>
      <c r="I8" s="246">
        <f>SUM(C8:H8)</f>
        <v>70.416425636</v>
      </c>
      <c r="J8" s="311">
        <f>J7*J9</f>
        <v>75.206578261843845</v>
      </c>
      <c r="K8" s="312">
        <f>K7*K9</f>
        <v>26.595199172347012</v>
      </c>
      <c r="L8" s="313">
        <f>SUM(J8:K8)</f>
        <v>101.80177743419085</v>
      </c>
      <c r="M8" s="309"/>
      <c r="N8" s="312"/>
      <c r="O8" s="314"/>
      <c r="P8" s="315">
        <f>P7*P9</f>
        <v>53.517604825160006</v>
      </c>
      <c r="Q8" s="309">
        <f>Q7*Q9</f>
        <v>18.843990380359863</v>
      </c>
      <c r="R8" s="312">
        <f>R7*R9</f>
        <v>33.266818450665411</v>
      </c>
      <c r="S8" s="314">
        <f>SUM(Q8:R8)</f>
        <v>52.110808831025274</v>
      </c>
      <c r="T8" s="316">
        <f>I8+L8+O8+P8+S8</f>
        <v>277.84661672637611</v>
      </c>
    </row>
    <row r="9" spans="1:23" ht="15.75" x14ac:dyDescent="0.25">
      <c r="A9" s="317" t="s">
        <v>32</v>
      </c>
      <c r="B9" s="318" t="s">
        <v>33</v>
      </c>
      <c r="C9" s="319">
        <f>V2*I9</f>
        <v>2785.5509774707261</v>
      </c>
      <c r="D9" s="252">
        <f>I9*W2</f>
        <v>1508.1335125292735</v>
      </c>
      <c r="E9" s="252">
        <f>I9*X2</f>
        <v>0</v>
      </c>
      <c r="F9" s="252">
        <f>I9*Y2</f>
        <v>0</v>
      </c>
      <c r="G9" s="252">
        <f>I9*Z2</f>
        <v>0</v>
      </c>
      <c r="H9" s="320">
        <f>I9*AA2</f>
        <v>0</v>
      </c>
      <c r="I9" s="253">
        <f>[5]лугов!F40</f>
        <v>4293.6844899999996</v>
      </c>
      <c r="J9" s="321">
        <f>'[1]расчет объема'!$G$14</f>
        <v>4585.7669671856002</v>
      </c>
      <c r="K9" s="322">
        <f>'[1]расчет объема'!$G$16</f>
        <v>1621.65848611872</v>
      </c>
      <c r="L9" s="323">
        <f>SUM(J9:K9)</f>
        <v>6207.4254533043204</v>
      </c>
      <c r="M9" s="319" t="e">
        <f>O9*V2</f>
        <v>#REF!</v>
      </c>
      <c r="N9" s="322" t="e">
        <f>O9*W2</f>
        <v>#REF!</v>
      </c>
      <c r="O9" s="324" t="e">
        <f>#REF!</f>
        <v>#REF!</v>
      </c>
      <c r="P9" s="325">
        <f>'[1]расчет объема'!$G$23</f>
        <v>3263.2685869000002</v>
      </c>
      <c r="Q9" s="319">
        <f>'[1]расчет объема'!$G$25</f>
        <v>1149.0238036804794</v>
      </c>
      <c r="R9" s="322">
        <f>'[1]расчет объема'!$G$26</f>
        <v>2028.4645396747198</v>
      </c>
      <c r="S9" s="324">
        <f>SUM(Q9:R9)</f>
        <v>3177.4883433551995</v>
      </c>
      <c r="T9" s="316" t="e">
        <f>I9+L9+O9+P9+S9</f>
        <v>#REF!</v>
      </c>
    </row>
    <row r="10" spans="1:23" ht="33" customHeight="1" x14ac:dyDescent="0.25">
      <c r="A10" s="326" t="s">
        <v>34</v>
      </c>
      <c r="B10" s="318" t="s">
        <v>29</v>
      </c>
      <c r="C10" s="327">
        <v>2.0400000000000001E-2</v>
      </c>
      <c r="D10" s="251">
        <v>2.0400000000000001E-2</v>
      </c>
      <c r="E10" s="251">
        <v>2.0400000000000001E-2</v>
      </c>
      <c r="F10" s="251">
        <v>2.0400000000000001E-2</v>
      </c>
      <c r="G10" s="251">
        <v>2.0400000000000001E-2</v>
      </c>
      <c r="H10" s="328">
        <v>2.0400000000000001E-2</v>
      </c>
      <c r="I10" s="256"/>
      <c r="J10" s="329">
        <v>2.0400000000000001E-2</v>
      </c>
      <c r="K10" s="330">
        <v>2.0400000000000001E-2</v>
      </c>
      <c r="L10" s="331"/>
      <c r="M10" s="327">
        <v>2.0400000000000001E-2</v>
      </c>
      <c r="N10" s="330">
        <v>2.0400000000000001E-2</v>
      </c>
      <c r="O10" s="332"/>
      <c r="P10" s="333">
        <v>2.0400000000000001E-2</v>
      </c>
      <c r="Q10" s="327">
        <v>2.0400000000000001E-2</v>
      </c>
      <c r="R10" s="330">
        <v>2.0400000000000001E-2</v>
      </c>
      <c r="S10" s="332"/>
      <c r="T10" s="334"/>
    </row>
    <row r="11" spans="1:23" ht="31.5" x14ac:dyDescent="0.25">
      <c r="A11" s="326" t="s">
        <v>35</v>
      </c>
      <c r="B11" s="318" t="s">
        <v>36</v>
      </c>
      <c r="C11" s="327">
        <v>12.9</v>
      </c>
      <c r="D11" s="251">
        <v>12.9</v>
      </c>
      <c r="E11" s="251">
        <v>12.9</v>
      </c>
      <c r="F11" s="251">
        <v>12.9</v>
      </c>
      <c r="G11" s="251">
        <v>12.9</v>
      </c>
      <c r="H11" s="328">
        <v>12.9</v>
      </c>
      <c r="I11" s="258"/>
      <c r="J11" s="335">
        <v>18</v>
      </c>
      <c r="K11" s="336">
        <v>18</v>
      </c>
      <c r="L11" s="337">
        <v>18</v>
      </c>
      <c r="M11" s="327">
        <v>12.9</v>
      </c>
      <c r="N11" s="330">
        <v>12.9</v>
      </c>
      <c r="O11" s="329">
        <v>12.9</v>
      </c>
      <c r="P11" s="338">
        <v>18</v>
      </c>
      <c r="Q11" s="339">
        <v>18</v>
      </c>
      <c r="R11" s="336">
        <v>18</v>
      </c>
      <c r="S11" s="335">
        <v>18</v>
      </c>
      <c r="T11" s="340">
        <v>18</v>
      </c>
    </row>
    <row r="12" spans="1:23" ht="15.75" x14ac:dyDescent="0.25">
      <c r="A12" s="317" t="s">
        <v>37</v>
      </c>
      <c r="B12" s="318" t="s">
        <v>33</v>
      </c>
      <c r="C12" s="341">
        <f>C9*C11/100</f>
        <v>359.3360760937237</v>
      </c>
      <c r="D12" s="260">
        <f t="shared" ref="D12:K12" si="1">D9*D11/100</f>
        <v>194.54922311627629</v>
      </c>
      <c r="E12" s="260">
        <f t="shared" si="1"/>
        <v>0</v>
      </c>
      <c r="F12" s="260">
        <f t="shared" si="1"/>
        <v>0</v>
      </c>
      <c r="G12" s="260">
        <f t="shared" si="1"/>
        <v>0</v>
      </c>
      <c r="H12" s="342">
        <f t="shared" si="1"/>
        <v>0</v>
      </c>
      <c r="I12" s="343">
        <f>SUM(C12:H12)</f>
        <v>553.88529920999997</v>
      </c>
      <c r="J12" s="344">
        <f t="shared" si="1"/>
        <v>825.43805409340803</v>
      </c>
      <c r="K12" s="345">
        <f t="shared" si="1"/>
        <v>291.89852750136959</v>
      </c>
      <c r="L12" s="313">
        <f>SUM(J12:K12)</f>
        <v>1117.3365815947777</v>
      </c>
      <c r="M12" s="341" t="e">
        <f>M9*M11/100</f>
        <v>#REF!</v>
      </c>
      <c r="N12" s="345" t="e">
        <f>N9*N11/100</f>
        <v>#REF!</v>
      </c>
      <c r="O12" s="314" t="e">
        <f>SUM(M12:N12)</f>
        <v>#REF!</v>
      </c>
      <c r="P12" s="315">
        <f>P9*P11/100</f>
        <v>587.3883456420001</v>
      </c>
      <c r="Q12" s="341">
        <f>Q9*Q11/100</f>
        <v>206.82428466248632</v>
      </c>
      <c r="R12" s="345">
        <f>R9*R11/100</f>
        <v>365.12361714144959</v>
      </c>
      <c r="S12" s="314">
        <f>SUM(Q12:R12)</f>
        <v>571.94790180393591</v>
      </c>
      <c r="T12" s="316" t="e">
        <f>I12+L12+O12+P12+S12</f>
        <v>#REF!</v>
      </c>
    </row>
    <row r="13" spans="1:23" ht="49.9" customHeight="1" x14ac:dyDescent="0.2">
      <c r="A13" s="346" t="s">
        <v>38</v>
      </c>
      <c r="B13" s="333" t="s">
        <v>31</v>
      </c>
      <c r="C13" s="347">
        <f>C10*C12</f>
        <v>7.3304559523119641</v>
      </c>
      <c r="D13" s="247">
        <f t="shared" ref="D13:K13" si="2">D10*D12</f>
        <v>3.9688041515720367</v>
      </c>
      <c r="E13" s="247">
        <f t="shared" si="2"/>
        <v>0</v>
      </c>
      <c r="F13" s="247">
        <f t="shared" si="2"/>
        <v>0</v>
      </c>
      <c r="G13" s="247">
        <f t="shared" si="2"/>
        <v>0</v>
      </c>
      <c r="H13" s="348">
        <f t="shared" si="2"/>
        <v>0</v>
      </c>
      <c r="I13" s="343">
        <f>SUM(C13:H13)</f>
        <v>11.299260103884</v>
      </c>
      <c r="J13" s="349">
        <f t="shared" si="2"/>
        <v>16.838936303505523</v>
      </c>
      <c r="K13" s="350">
        <f t="shared" si="2"/>
        <v>5.9547299610279403</v>
      </c>
      <c r="L13" s="351">
        <f>SUM(J13:K13)</f>
        <v>22.793666264533464</v>
      </c>
      <c r="M13" s="347" t="e">
        <f>M10*M12</f>
        <v>#REF!</v>
      </c>
      <c r="N13" s="350" t="e">
        <f>N10*N12</f>
        <v>#REF!</v>
      </c>
      <c r="O13" s="352" t="e">
        <f>SUM(M13:N13)</f>
        <v>#REF!</v>
      </c>
      <c r="P13" s="353">
        <f>P10*P12</f>
        <v>11.982722251096803</v>
      </c>
      <c r="Q13" s="347">
        <f>Q10*Q12</f>
        <v>4.2192154071147216</v>
      </c>
      <c r="R13" s="350">
        <f>R10*R12</f>
        <v>7.4485217896855724</v>
      </c>
      <c r="S13" s="352">
        <f>SUM(Q13:R13)</f>
        <v>11.667737196800294</v>
      </c>
      <c r="T13" s="354" t="e">
        <f>I13+L13+O13+P13+S13</f>
        <v>#REF!</v>
      </c>
    </row>
    <row r="14" spans="1:23" ht="15.75" x14ac:dyDescent="0.25">
      <c r="A14" s="317" t="s">
        <v>39</v>
      </c>
      <c r="B14" s="318" t="s">
        <v>40</v>
      </c>
      <c r="C14" s="355">
        <f>5400/1.2</f>
        <v>4500</v>
      </c>
      <c r="D14" s="263">
        <f>C14</f>
        <v>4500</v>
      </c>
      <c r="E14" s="263">
        <f>D14</f>
        <v>4500</v>
      </c>
      <c r="F14" s="263">
        <f>E14</f>
        <v>4500</v>
      </c>
      <c r="G14" s="263">
        <f>F14</f>
        <v>4500</v>
      </c>
      <c r="H14" s="263">
        <f>G14</f>
        <v>4500</v>
      </c>
      <c r="I14" s="264"/>
      <c r="J14" s="335">
        <v>5400</v>
      </c>
      <c r="K14" s="336">
        <v>5400</v>
      </c>
      <c r="L14" s="337">
        <v>5400</v>
      </c>
      <c r="M14" s="339">
        <f>[5]гуртовка!B16/1.2</f>
        <v>4684.5</v>
      </c>
      <c r="N14" s="336">
        <f>M14</f>
        <v>4684.5</v>
      </c>
      <c r="O14" s="335">
        <f>N14</f>
        <v>4684.5</v>
      </c>
      <c r="P14" s="338">
        <v>5400</v>
      </c>
      <c r="Q14" s="339">
        <v>5400</v>
      </c>
      <c r="R14" s="336">
        <v>5400</v>
      </c>
      <c r="S14" s="335">
        <v>5400</v>
      </c>
      <c r="T14" s="340">
        <v>5400</v>
      </c>
    </row>
    <row r="15" spans="1:23" ht="16.5" thickBot="1" x14ac:dyDescent="0.3">
      <c r="A15" s="356" t="s">
        <v>41</v>
      </c>
      <c r="B15" s="357" t="s">
        <v>31</v>
      </c>
      <c r="C15" s="358">
        <f t="shared" ref="C15:H15" si="3">C8+C13</f>
        <v>53.01349198283188</v>
      </c>
      <c r="D15" s="359">
        <f t="shared" si="3"/>
        <v>28.702193757052125</v>
      </c>
      <c r="E15" s="359">
        <f t="shared" si="3"/>
        <v>0</v>
      </c>
      <c r="F15" s="359">
        <f t="shared" si="3"/>
        <v>0</v>
      </c>
      <c r="G15" s="359">
        <f t="shared" si="3"/>
        <v>0</v>
      </c>
      <c r="H15" s="360">
        <f t="shared" si="3"/>
        <v>0</v>
      </c>
      <c r="I15" s="343">
        <f>SUM(C15:H15)</f>
        <v>81.715685739884009</v>
      </c>
      <c r="J15" s="361">
        <f t="shared" ref="J15:R15" si="4">J8+J13</f>
        <v>92.045514565349364</v>
      </c>
      <c r="K15" s="362">
        <f t="shared" si="4"/>
        <v>32.549929133374953</v>
      </c>
      <c r="L15" s="363">
        <f>SUM(J15:K15)</f>
        <v>124.59544369872432</v>
      </c>
      <c r="M15" s="358" t="e">
        <f>M8+M13</f>
        <v>#REF!</v>
      </c>
      <c r="N15" s="362" t="e">
        <f t="shared" si="4"/>
        <v>#REF!</v>
      </c>
      <c r="O15" s="364" t="e">
        <f>SUM(M15:N15)</f>
        <v>#REF!</v>
      </c>
      <c r="P15" s="365">
        <f t="shared" si="4"/>
        <v>65.500327076256809</v>
      </c>
      <c r="Q15" s="358">
        <f t="shared" si="4"/>
        <v>23.063205787474583</v>
      </c>
      <c r="R15" s="362">
        <f t="shared" si="4"/>
        <v>40.715340240350983</v>
      </c>
      <c r="S15" s="364">
        <f>SUM(Q15:R15)</f>
        <v>63.77854602782557</v>
      </c>
      <c r="T15" s="366" t="e">
        <f>I15+L15+O15+P15+S15</f>
        <v>#REF!</v>
      </c>
    </row>
    <row r="16" spans="1:23" ht="32.25" thickBot="1" x14ac:dyDescent="0.3">
      <c r="A16" s="367" t="s">
        <v>42</v>
      </c>
      <c r="B16" s="368" t="s">
        <v>43</v>
      </c>
      <c r="C16" s="369">
        <f t="shared" ref="C16:H16" si="5">(C15)*C14/1000</f>
        <v>238.56071392274345</v>
      </c>
      <c r="D16" s="369">
        <f t="shared" si="5"/>
        <v>129.15987190673457</v>
      </c>
      <c r="E16" s="369">
        <f t="shared" si="5"/>
        <v>0</v>
      </c>
      <c r="F16" s="369">
        <f t="shared" si="5"/>
        <v>0</v>
      </c>
      <c r="G16" s="369">
        <f t="shared" si="5"/>
        <v>0</v>
      </c>
      <c r="H16" s="369">
        <f t="shared" si="5"/>
        <v>0</v>
      </c>
      <c r="I16" s="343">
        <f>SUM(C16:H16)</f>
        <v>367.72058582947801</v>
      </c>
      <c r="J16" s="370">
        <f t="shared" ref="J16:R16" si="6">(J8+J13)*J14/1000</f>
        <v>497.04577865288655</v>
      </c>
      <c r="K16" s="371">
        <f t="shared" si="6"/>
        <v>175.76961732022474</v>
      </c>
      <c r="L16" s="372">
        <f>SUM(J16:K16)</f>
        <v>672.81539597311132</v>
      </c>
      <c r="M16" s="373" t="e">
        <f>(M8+M13)*M14/1000</f>
        <v>#REF!</v>
      </c>
      <c r="N16" s="374" t="e">
        <f>(N8+N13)*N14/1000</f>
        <v>#REF!</v>
      </c>
      <c r="O16" s="372" t="e">
        <f>SUM(M16:N16)</f>
        <v>#REF!</v>
      </c>
      <c r="P16" s="375">
        <f t="shared" si="6"/>
        <v>353.70176621178678</v>
      </c>
      <c r="Q16" s="373">
        <f t="shared" si="6"/>
        <v>124.54131125236275</v>
      </c>
      <c r="R16" s="374">
        <f t="shared" si="6"/>
        <v>219.86283729789531</v>
      </c>
      <c r="S16" s="372">
        <f>SUM(Q16:R16)</f>
        <v>344.40414855025807</v>
      </c>
      <c r="T16" s="372" t="e">
        <f>I16+L16+O16+P16+S16</f>
        <v>#REF!</v>
      </c>
    </row>
    <row r="17" spans="1:20" ht="16.5" thickBot="1" x14ac:dyDescent="0.3">
      <c r="A17" s="586" t="s">
        <v>1</v>
      </c>
      <c r="B17" s="587"/>
      <c r="C17" s="588"/>
      <c r="D17" s="588"/>
      <c r="E17" s="588"/>
      <c r="F17" s="588"/>
      <c r="G17" s="588"/>
      <c r="H17" s="588"/>
      <c r="I17" s="587"/>
      <c r="J17" s="588"/>
      <c r="K17" s="588"/>
      <c r="L17" s="587"/>
      <c r="M17" s="587"/>
      <c r="N17" s="587"/>
      <c r="O17" s="587"/>
      <c r="P17" s="587"/>
      <c r="Q17" s="588"/>
      <c r="R17" s="588"/>
      <c r="S17" s="587"/>
      <c r="T17" s="589"/>
    </row>
    <row r="18" spans="1:20" ht="15.75" x14ac:dyDescent="0.25">
      <c r="A18" s="376" t="s">
        <v>1</v>
      </c>
      <c r="B18" s="377" t="s">
        <v>31</v>
      </c>
      <c r="C18" s="378">
        <f t="shared" ref="C18:H18" si="7">C28*C29</f>
        <v>33.382321469106934</v>
      </c>
      <c r="D18" s="379">
        <f t="shared" si="7"/>
        <v>17.263001064517585</v>
      </c>
      <c r="E18" s="379">
        <f t="shared" si="7"/>
        <v>0</v>
      </c>
      <c r="F18" s="379">
        <f t="shared" si="7"/>
        <v>0</v>
      </c>
      <c r="G18" s="379">
        <f t="shared" si="7"/>
        <v>0</v>
      </c>
      <c r="H18" s="380">
        <f t="shared" si="7"/>
        <v>0</v>
      </c>
      <c r="I18" s="343">
        <f>SUM(C18:H18)</f>
        <v>50.645322533624523</v>
      </c>
      <c r="J18" s="381">
        <f t="shared" ref="J18:R18" si="8">J28*J29</f>
        <v>61.451897798554</v>
      </c>
      <c r="K18" s="382">
        <f t="shared" si="8"/>
        <v>21.73115037598291</v>
      </c>
      <c r="L18" s="383">
        <f>SUM(J18:K18)</f>
        <v>83.183048174536907</v>
      </c>
      <c r="M18" s="384" t="e">
        <f t="shared" si="8"/>
        <v>#REF!</v>
      </c>
      <c r="N18" s="382" t="e">
        <f>N28*N29</f>
        <v>#REF!</v>
      </c>
      <c r="O18" s="383" t="e">
        <f>SUM(M18:N18)</f>
        <v>#REF!</v>
      </c>
      <c r="P18" s="384">
        <f t="shared" si="8"/>
        <v>314.68637561679793</v>
      </c>
      <c r="Q18" s="378">
        <f t="shared" si="8"/>
        <v>10.719407210792861</v>
      </c>
      <c r="R18" s="380">
        <f t="shared" si="8"/>
        <v>20.749453556981234</v>
      </c>
      <c r="S18" s="383">
        <f>SUM(Q18:R18)</f>
        <v>31.468860767774096</v>
      </c>
      <c r="T18" s="385" t="e">
        <f>I18+L18+O18+P18+S18</f>
        <v>#REF!</v>
      </c>
    </row>
    <row r="19" spans="1:20" ht="33.6" customHeight="1" x14ac:dyDescent="0.25">
      <c r="A19" s="326" t="s">
        <v>44</v>
      </c>
      <c r="B19" s="318" t="s">
        <v>45</v>
      </c>
      <c r="C19" s="327">
        <f>1.5*2</f>
        <v>3</v>
      </c>
      <c r="D19" s="251">
        <f>1*2</f>
        <v>2</v>
      </c>
      <c r="E19" s="251">
        <f>1*2</f>
        <v>2</v>
      </c>
      <c r="F19" s="251">
        <f>3*2</f>
        <v>6</v>
      </c>
      <c r="G19" s="251">
        <f>1.5*2</f>
        <v>3</v>
      </c>
      <c r="H19" s="330">
        <f>1.5*2</f>
        <v>3</v>
      </c>
      <c r="I19" s="386"/>
      <c r="J19" s="329">
        <f>1*2</f>
        <v>2</v>
      </c>
      <c r="K19" s="328">
        <f>1*2</f>
        <v>2</v>
      </c>
      <c r="L19" s="334"/>
      <c r="M19" s="387">
        <f>1*2</f>
        <v>2</v>
      </c>
      <c r="N19" s="328">
        <v>0</v>
      </c>
      <c r="O19" s="334"/>
      <c r="P19" s="331">
        <v>0.8</v>
      </c>
      <c r="Q19" s="327">
        <v>0</v>
      </c>
      <c r="R19" s="330">
        <v>1.2</v>
      </c>
      <c r="S19" s="334"/>
      <c r="T19" s="334"/>
    </row>
    <row r="20" spans="1:20" ht="15.75" x14ac:dyDescent="0.25">
      <c r="A20" s="317" t="s">
        <v>46</v>
      </c>
      <c r="B20" s="318" t="s">
        <v>47</v>
      </c>
      <c r="C20" s="339">
        <v>24</v>
      </c>
      <c r="D20" s="259">
        <v>24</v>
      </c>
      <c r="E20" s="259">
        <v>24</v>
      </c>
      <c r="F20" s="259">
        <v>24</v>
      </c>
      <c r="G20" s="259">
        <v>24</v>
      </c>
      <c r="H20" s="336">
        <v>24</v>
      </c>
      <c r="I20" s="388"/>
      <c r="J20" s="335">
        <v>24</v>
      </c>
      <c r="K20" s="389">
        <v>24</v>
      </c>
      <c r="L20" s="390">
        <v>24</v>
      </c>
      <c r="M20" s="337">
        <v>24</v>
      </c>
      <c r="N20" s="389">
        <v>24</v>
      </c>
      <c r="O20" s="390">
        <v>24</v>
      </c>
      <c r="P20" s="391">
        <v>24</v>
      </c>
      <c r="Q20" s="339">
        <v>24</v>
      </c>
      <c r="R20" s="336">
        <v>24</v>
      </c>
      <c r="S20" s="390">
        <v>24</v>
      </c>
      <c r="T20" s="390">
        <v>24</v>
      </c>
    </row>
    <row r="21" spans="1:20" ht="42.6" customHeight="1" x14ac:dyDescent="0.25">
      <c r="A21" s="326" t="s">
        <v>48</v>
      </c>
      <c r="B21" s="318" t="s">
        <v>45</v>
      </c>
      <c r="C21" s="327">
        <f t="shared" ref="C21:H21" si="9">7*2</f>
        <v>14</v>
      </c>
      <c r="D21" s="251">
        <f t="shared" si="9"/>
        <v>14</v>
      </c>
      <c r="E21" s="251">
        <f t="shared" si="9"/>
        <v>14</v>
      </c>
      <c r="F21" s="251">
        <f t="shared" si="9"/>
        <v>14</v>
      </c>
      <c r="G21" s="251">
        <f t="shared" si="9"/>
        <v>14</v>
      </c>
      <c r="H21" s="330">
        <f t="shared" si="9"/>
        <v>14</v>
      </c>
      <c r="I21" s="388"/>
      <c r="J21" s="329">
        <f>5*2</f>
        <v>10</v>
      </c>
      <c r="K21" s="328">
        <f>5*2</f>
        <v>10</v>
      </c>
      <c r="L21" s="334"/>
      <c r="M21" s="387">
        <f>1.5*2</f>
        <v>3</v>
      </c>
      <c r="N21" s="328">
        <f>1.5*2</f>
        <v>3</v>
      </c>
      <c r="O21" s="334"/>
      <c r="P21" s="331">
        <v>5</v>
      </c>
      <c r="Q21" s="327">
        <v>6</v>
      </c>
      <c r="R21" s="330">
        <v>6</v>
      </c>
      <c r="S21" s="334"/>
      <c r="T21" s="334"/>
    </row>
    <row r="22" spans="1:20" ht="15.75" x14ac:dyDescent="0.25">
      <c r="A22" s="317" t="s">
        <v>49</v>
      </c>
      <c r="B22" s="318" t="s">
        <v>47</v>
      </c>
      <c r="C22" s="339">
        <v>28</v>
      </c>
      <c r="D22" s="259">
        <v>28</v>
      </c>
      <c r="E22" s="259">
        <v>28</v>
      </c>
      <c r="F22" s="259">
        <v>28</v>
      </c>
      <c r="G22" s="259">
        <v>28</v>
      </c>
      <c r="H22" s="336">
        <v>28</v>
      </c>
      <c r="I22" s="388"/>
      <c r="J22" s="335">
        <v>28</v>
      </c>
      <c r="K22" s="389">
        <v>28</v>
      </c>
      <c r="L22" s="390">
        <v>28</v>
      </c>
      <c r="M22" s="337">
        <v>28</v>
      </c>
      <c r="N22" s="389">
        <v>28</v>
      </c>
      <c r="O22" s="390">
        <v>28</v>
      </c>
      <c r="P22" s="391">
        <v>28</v>
      </c>
      <c r="Q22" s="339">
        <v>28</v>
      </c>
      <c r="R22" s="336">
        <v>28</v>
      </c>
      <c r="S22" s="390">
        <v>28</v>
      </c>
      <c r="T22" s="390">
        <v>28</v>
      </c>
    </row>
    <row r="23" spans="1:20" ht="15.75" x14ac:dyDescent="0.25">
      <c r="A23" s="317" t="s">
        <v>50</v>
      </c>
      <c r="B23" s="318" t="s">
        <v>51</v>
      </c>
      <c r="C23" s="341">
        <f t="shared" ref="C23:H23" si="10">(C19/C20+C21/C22)</f>
        <v>0.625</v>
      </c>
      <c r="D23" s="260">
        <f t="shared" si="10"/>
        <v>0.58333333333333337</v>
      </c>
      <c r="E23" s="260">
        <f t="shared" si="10"/>
        <v>0.58333333333333337</v>
      </c>
      <c r="F23" s="260">
        <f t="shared" si="10"/>
        <v>0.75</v>
      </c>
      <c r="G23" s="260">
        <f t="shared" si="10"/>
        <v>0.625</v>
      </c>
      <c r="H23" s="345">
        <f t="shared" si="10"/>
        <v>0.625</v>
      </c>
      <c r="I23" s="386"/>
      <c r="J23" s="344">
        <f>(J19/J20+J21/J22)</f>
        <v>0.44047619047619047</v>
      </c>
      <c r="K23" s="342">
        <f>(K19/K20+K21/K22)</f>
        <v>0.44047619047619047</v>
      </c>
      <c r="L23" s="392"/>
      <c r="M23" s="393">
        <f>(M19/M20+M21/M22)</f>
        <v>0.19047619047619047</v>
      </c>
      <c r="N23" s="342">
        <f>(N19/N20+N21/N22)</f>
        <v>0.10714285714285714</v>
      </c>
      <c r="O23" s="392"/>
      <c r="P23" s="394">
        <f>(P19/P20+P21/P22)</f>
        <v>0.2119047619047619</v>
      </c>
      <c r="Q23" s="341">
        <f>(Q19/Q20+Q21/Q22)</f>
        <v>0.21428571428571427</v>
      </c>
      <c r="R23" s="345">
        <f>(R19/R20+R21/R22)</f>
        <v>0.26428571428571429</v>
      </c>
      <c r="S23" s="392"/>
      <c r="T23" s="390"/>
    </row>
    <row r="24" spans="1:20" ht="30" customHeight="1" x14ac:dyDescent="0.2">
      <c r="A24" s="395" t="s">
        <v>52</v>
      </c>
      <c r="B24" s="318" t="s">
        <v>51</v>
      </c>
      <c r="C24" s="396">
        <f t="shared" ref="C24:H24" si="11">C10*C30</f>
        <v>0.20400000000000001</v>
      </c>
      <c r="D24" s="269">
        <f t="shared" si="11"/>
        <v>0.20400000000000001</v>
      </c>
      <c r="E24" s="269">
        <f t="shared" si="11"/>
        <v>0.20400000000000001</v>
      </c>
      <c r="F24" s="269">
        <f t="shared" si="11"/>
        <v>0.20400000000000001</v>
      </c>
      <c r="G24" s="269">
        <f t="shared" si="11"/>
        <v>0.20400000000000001</v>
      </c>
      <c r="H24" s="397">
        <f t="shared" si="11"/>
        <v>0.20400000000000001</v>
      </c>
      <c r="I24" s="398"/>
      <c r="J24" s="399">
        <f t="shared" ref="J24:R24" si="12">J10*J30</f>
        <v>0.20400000000000001</v>
      </c>
      <c r="K24" s="400">
        <f t="shared" si="12"/>
        <v>0.20400000000000001</v>
      </c>
      <c r="L24" s="401"/>
      <c r="M24" s="402">
        <f t="shared" si="12"/>
        <v>0.20400000000000001</v>
      </c>
      <c r="N24" s="400">
        <f t="shared" si="12"/>
        <v>0.20400000000000001</v>
      </c>
      <c r="O24" s="401"/>
      <c r="P24" s="403">
        <f t="shared" si="12"/>
        <v>0.36720000000000003</v>
      </c>
      <c r="Q24" s="396">
        <f t="shared" si="12"/>
        <v>0.20400000000000001</v>
      </c>
      <c r="R24" s="397">
        <f t="shared" si="12"/>
        <v>0.20400000000000001</v>
      </c>
      <c r="S24" s="401"/>
      <c r="T24" s="334"/>
    </row>
    <row r="25" spans="1:20" ht="31.5" x14ac:dyDescent="0.25">
      <c r="A25" s="395" t="s">
        <v>53</v>
      </c>
      <c r="B25" s="318" t="s">
        <v>51</v>
      </c>
      <c r="C25" s="396">
        <v>0.1</v>
      </c>
      <c r="D25" s="269">
        <v>0.1</v>
      </c>
      <c r="E25" s="269">
        <v>0.1</v>
      </c>
      <c r="F25" s="269">
        <v>0.1</v>
      </c>
      <c r="G25" s="269">
        <v>0.1</v>
      </c>
      <c r="H25" s="397">
        <v>0.1</v>
      </c>
      <c r="I25" s="386"/>
      <c r="J25" s="404">
        <v>0.1</v>
      </c>
      <c r="K25" s="405">
        <v>0.1</v>
      </c>
      <c r="L25" s="406"/>
      <c r="M25" s="407">
        <v>0.1</v>
      </c>
      <c r="N25" s="405">
        <v>0.1</v>
      </c>
      <c r="O25" s="406"/>
      <c r="P25" s="408">
        <v>0.1</v>
      </c>
      <c r="Q25" s="409">
        <v>0.1</v>
      </c>
      <c r="R25" s="410">
        <v>0.1</v>
      </c>
      <c r="S25" s="406"/>
      <c r="T25" s="390"/>
    </row>
    <row r="26" spans="1:20" ht="15.75" x14ac:dyDescent="0.25">
      <c r="A26" s="326" t="s">
        <v>54</v>
      </c>
      <c r="B26" s="318" t="s">
        <v>51</v>
      </c>
      <c r="C26" s="341">
        <f t="shared" ref="C26:H26" si="13">C23+C24+C25</f>
        <v>0.92899999999999994</v>
      </c>
      <c r="D26" s="260">
        <f t="shared" si="13"/>
        <v>0.88733333333333342</v>
      </c>
      <c r="E26" s="260">
        <f t="shared" si="13"/>
        <v>0.88733333333333342</v>
      </c>
      <c r="F26" s="260">
        <f t="shared" si="13"/>
        <v>1.054</v>
      </c>
      <c r="G26" s="260">
        <f t="shared" si="13"/>
        <v>0.92899999999999994</v>
      </c>
      <c r="H26" s="345">
        <f t="shared" si="13"/>
        <v>0.92899999999999994</v>
      </c>
      <c r="I26" s="386"/>
      <c r="J26" s="344">
        <f>J23+J24+J25</f>
        <v>0.7444761904761904</v>
      </c>
      <c r="K26" s="342">
        <f>K23+K24+K25</f>
        <v>0.7444761904761904</v>
      </c>
      <c r="L26" s="392"/>
      <c r="M26" s="393">
        <f>M23+M24+M25</f>
        <v>0.49447619047619051</v>
      </c>
      <c r="N26" s="342">
        <f>N23+N24+N25</f>
        <v>0.41114285714285714</v>
      </c>
      <c r="O26" s="392"/>
      <c r="P26" s="394">
        <f>P23+P24+P25</f>
        <v>0.67910476190476188</v>
      </c>
      <c r="Q26" s="341">
        <f>Q23+Q24+Q25</f>
        <v>0.51828571428571424</v>
      </c>
      <c r="R26" s="345">
        <f>R23+R24+R25</f>
        <v>0.56828571428571428</v>
      </c>
      <c r="S26" s="392"/>
      <c r="T26" s="390"/>
    </row>
    <row r="27" spans="1:20" ht="15.75" x14ac:dyDescent="0.2">
      <c r="A27" s="147" t="s">
        <v>55</v>
      </c>
      <c r="B27" s="318" t="s">
        <v>51</v>
      </c>
      <c r="C27" s="396">
        <v>1</v>
      </c>
      <c r="D27" s="269">
        <v>1</v>
      </c>
      <c r="E27" s="269">
        <v>1</v>
      </c>
      <c r="F27" s="269">
        <v>1</v>
      </c>
      <c r="G27" s="269">
        <v>1</v>
      </c>
      <c r="H27" s="397">
        <v>1</v>
      </c>
      <c r="I27" s="386"/>
      <c r="J27" s="399">
        <v>1</v>
      </c>
      <c r="K27" s="400">
        <v>1</v>
      </c>
      <c r="L27" s="401"/>
      <c r="M27" s="402">
        <v>1</v>
      </c>
      <c r="N27" s="400">
        <v>1</v>
      </c>
      <c r="O27" s="401"/>
      <c r="P27" s="403">
        <v>14.2</v>
      </c>
      <c r="Q27" s="396">
        <v>1</v>
      </c>
      <c r="R27" s="397">
        <v>1</v>
      </c>
      <c r="S27" s="401"/>
      <c r="T27" s="334"/>
    </row>
    <row r="28" spans="1:20" ht="15.75" x14ac:dyDescent="0.25">
      <c r="A28" s="326" t="s">
        <v>54</v>
      </c>
      <c r="B28" s="318" t="s">
        <v>56</v>
      </c>
      <c r="C28" s="411">
        <f t="shared" ref="C28:H28" si="14">C26*C27</f>
        <v>0.92899999999999994</v>
      </c>
      <c r="D28" s="275">
        <f t="shared" si="14"/>
        <v>0.88733333333333342</v>
      </c>
      <c r="E28" s="275">
        <f t="shared" si="14"/>
        <v>0.88733333333333342</v>
      </c>
      <c r="F28" s="275">
        <f t="shared" si="14"/>
        <v>1.054</v>
      </c>
      <c r="G28" s="275">
        <f t="shared" si="14"/>
        <v>0.92899999999999994</v>
      </c>
      <c r="H28" s="412">
        <f t="shared" si="14"/>
        <v>0.92899999999999994</v>
      </c>
      <c r="I28" s="386"/>
      <c r="J28" s="413">
        <f>J26*J27</f>
        <v>0.7444761904761904</v>
      </c>
      <c r="K28" s="414">
        <f>K26*K27</f>
        <v>0.7444761904761904</v>
      </c>
      <c r="L28" s="415"/>
      <c r="M28" s="416">
        <f>M26*M27</f>
        <v>0.49447619047619051</v>
      </c>
      <c r="N28" s="414">
        <f>N26*N27</f>
        <v>0.41114285714285714</v>
      </c>
      <c r="O28" s="415"/>
      <c r="P28" s="417">
        <f>P26*P27</f>
        <v>9.6432876190476176</v>
      </c>
      <c r="Q28" s="411">
        <f>Q26*Q27</f>
        <v>0.51828571428571424</v>
      </c>
      <c r="R28" s="412">
        <f>R26*R27</f>
        <v>0.56828571428571428</v>
      </c>
      <c r="S28" s="415"/>
      <c r="T28" s="390"/>
    </row>
    <row r="29" spans="1:20" ht="15.75" x14ac:dyDescent="0.2">
      <c r="A29" s="395" t="s">
        <v>57</v>
      </c>
      <c r="B29" s="318" t="s">
        <v>58</v>
      </c>
      <c r="C29" s="418">
        <f>C12/C30</f>
        <v>35.933607609372373</v>
      </c>
      <c r="D29" s="261">
        <f t="shared" ref="D29:R29" si="15">D12/D30</f>
        <v>19.45492231162763</v>
      </c>
      <c r="E29" s="261">
        <f t="shared" si="15"/>
        <v>0</v>
      </c>
      <c r="F29" s="261">
        <f t="shared" si="15"/>
        <v>0</v>
      </c>
      <c r="G29" s="261">
        <f t="shared" si="15"/>
        <v>0</v>
      </c>
      <c r="H29" s="419">
        <f t="shared" si="15"/>
        <v>0</v>
      </c>
      <c r="I29" s="386"/>
      <c r="J29" s="420">
        <f t="shared" si="15"/>
        <v>82.543805409340806</v>
      </c>
      <c r="K29" s="421">
        <f t="shared" si="15"/>
        <v>29.189852750136957</v>
      </c>
      <c r="L29" s="422">
        <f>SUM(J29:K29)</f>
        <v>111.73365815947776</v>
      </c>
      <c r="M29" s="423" t="e">
        <f t="shared" si="15"/>
        <v>#REF!</v>
      </c>
      <c r="N29" s="421" t="e">
        <f t="shared" si="15"/>
        <v>#REF!</v>
      </c>
      <c r="O29" s="422" t="e">
        <f>SUM(M29:N29)</f>
        <v>#REF!</v>
      </c>
      <c r="P29" s="424">
        <f t="shared" si="15"/>
        <v>32.632685869000007</v>
      </c>
      <c r="Q29" s="418">
        <f t="shared" si="15"/>
        <v>20.682428466248631</v>
      </c>
      <c r="R29" s="419">
        <f t="shared" si="15"/>
        <v>36.512361714144959</v>
      </c>
      <c r="S29" s="422">
        <f>SUM(Q29:R29)</f>
        <v>57.194790180393589</v>
      </c>
      <c r="T29" s="354" t="e">
        <f>I29+L29+O29+P29+S29</f>
        <v>#REF!</v>
      </c>
    </row>
    <row r="30" spans="1:20" ht="15.75" x14ac:dyDescent="0.25">
      <c r="A30" s="317" t="s">
        <v>59</v>
      </c>
      <c r="B30" s="318" t="s">
        <v>60</v>
      </c>
      <c r="C30" s="341">
        <v>10</v>
      </c>
      <c r="D30" s="260">
        <v>10</v>
      </c>
      <c r="E30" s="260">
        <v>10</v>
      </c>
      <c r="F30" s="260">
        <v>10</v>
      </c>
      <c r="G30" s="260">
        <v>10</v>
      </c>
      <c r="H30" s="345">
        <v>10</v>
      </c>
      <c r="I30" s="388"/>
      <c r="J30" s="344">
        <v>10</v>
      </c>
      <c r="K30" s="342">
        <v>10</v>
      </c>
      <c r="L30" s="392">
        <v>10</v>
      </c>
      <c r="M30" s="393">
        <v>10</v>
      </c>
      <c r="N30" s="342">
        <v>10</v>
      </c>
      <c r="O30" s="392">
        <v>10</v>
      </c>
      <c r="P30" s="394">
        <v>18</v>
      </c>
      <c r="Q30" s="341">
        <v>10</v>
      </c>
      <c r="R30" s="345">
        <v>10</v>
      </c>
      <c r="S30" s="392">
        <v>10</v>
      </c>
      <c r="T30" s="390">
        <v>10</v>
      </c>
    </row>
    <row r="31" spans="1:20" ht="16.5" thickBot="1" x14ac:dyDescent="0.3">
      <c r="A31" s="285" t="s">
        <v>61</v>
      </c>
      <c r="B31" s="425" t="s">
        <v>40</v>
      </c>
      <c r="C31" s="426">
        <f t="shared" ref="C31:H31" si="16">4500/1.2</f>
        <v>3750</v>
      </c>
      <c r="D31" s="426">
        <f t="shared" si="16"/>
        <v>3750</v>
      </c>
      <c r="E31" s="426">
        <f t="shared" si="16"/>
        <v>3750</v>
      </c>
      <c r="F31" s="426">
        <f t="shared" si="16"/>
        <v>3750</v>
      </c>
      <c r="G31" s="426">
        <f t="shared" si="16"/>
        <v>3750</v>
      </c>
      <c r="H31" s="426">
        <f t="shared" si="16"/>
        <v>3750</v>
      </c>
      <c r="I31" s="427"/>
      <c r="J31" s="428">
        <v>4700</v>
      </c>
      <c r="K31" s="428">
        <v>4700</v>
      </c>
      <c r="L31" s="428">
        <v>4700</v>
      </c>
      <c r="M31" s="428">
        <f>[5]гуртовка!B15/1.2</f>
        <v>3903.75</v>
      </c>
      <c r="N31" s="428">
        <v>3903.75</v>
      </c>
      <c r="O31" s="428">
        <v>3903.75</v>
      </c>
      <c r="P31" s="428">
        <v>4700</v>
      </c>
      <c r="Q31" s="428">
        <v>4700</v>
      </c>
      <c r="R31" s="428">
        <v>4700</v>
      </c>
      <c r="S31" s="428">
        <v>4700</v>
      </c>
      <c r="T31" s="428">
        <v>4700</v>
      </c>
    </row>
    <row r="32" spans="1:20" ht="16.5" thickBot="1" x14ac:dyDescent="0.3">
      <c r="A32" s="429" t="s">
        <v>62</v>
      </c>
      <c r="B32" s="430" t="s">
        <v>43</v>
      </c>
      <c r="C32" s="431">
        <f t="shared" ref="C32:H32" si="17">C18*C31/1000</f>
        <v>125.183705509151</v>
      </c>
      <c r="D32" s="432">
        <f t="shared" si="17"/>
        <v>64.736253991940941</v>
      </c>
      <c r="E32" s="432">
        <f t="shared" si="17"/>
        <v>0</v>
      </c>
      <c r="F32" s="432">
        <f t="shared" si="17"/>
        <v>0</v>
      </c>
      <c r="G32" s="432">
        <f t="shared" si="17"/>
        <v>0</v>
      </c>
      <c r="H32" s="433">
        <f t="shared" si="17"/>
        <v>0</v>
      </c>
      <c r="I32" s="434">
        <f>SUM(C32:H32)</f>
        <v>189.91995950109194</v>
      </c>
      <c r="J32" s="435">
        <f>J18*J31/1000</f>
        <v>288.8239196532038</v>
      </c>
      <c r="K32" s="436">
        <f>K18*K31/1000</f>
        <v>102.13640676711968</v>
      </c>
      <c r="L32" s="437">
        <f>SUM(J32:K32)</f>
        <v>390.9603264203235</v>
      </c>
      <c r="M32" s="438" t="e">
        <f>M18*M31/1000</f>
        <v>#REF!</v>
      </c>
      <c r="N32" s="439" t="e">
        <f>N18*N31/1000</f>
        <v>#REF!</v>
      </c>
      <c r="O32" s="440" t="e">
        <f>SUM(M32:N32)</f>
        <v>#REF!</v>
      </c>
      <c r="P32" s="437">
        <f>P18*P31/1000</f>
        <v>1479.0259653989503</v>
      </c>
      <c r="Q32" s="441">
        <f>Q18*Q31/1000</f>
        <v>50.381213890726443</v>
      </c>
      <c r="R32" s="432">
        <f>R18*R31/1000</f>
        <v>97.522431717811799</v>
      </c>
      <c r="S32" s="440">
        <f>SUM(Q32:R32)</f>
        <v>147.90364560853823</v>
      </c>
      <c r="T32" s="442" t="e">
        <f>I32+L32+O32+P32+S32</f>
        <v>#REF!</v>
      </c>
    </row>
    <row r="33" spans="1:20" ht="16.5" thickBot="1" x14ac:dyDescent="0.3">
      <c r="A33" s="590" t="s">
        <v>69</v>
      </c>
      <c r="B33" s="587"/>
      <c r="C33" s="587"/>
      <c r="D33" s="587"/>
      <c r="E33" s="587"/>
      <c r="F33" s="587"/>
      <c r="G33" s="587"/>
      <c r="H33" s="587"/>
      <c r="I33" s="587"/>
      <c r="J33" s="587"/>
      <c r="K33" s="587"/>
      <c r="L33" s="587"/>
      <c r="M33" s="587"/>
      <c r="N33" s="587"/>
      <c r="O33" s="587"/>
      <c r="P33" s="587"/>
      <c r="Q33" s="587"/>
      <c r="R33" s="587"/>
      <c r="S33" s="587"/>
      <c r="T33" s="591"/>
    </row>
    <row r="34" spans="1:20" ht="31.5" x14ac:dyDescent="0.2">
      <c r="A34" s="443" t="s">
        <v>70</v>
      </c>
      <c r="B34" s="444" t="s">
        <v>31</v>
      </c>
      <c r="C34" s="445">
        <v>2.1999999999999999E-2</v>
      </c>
      <c r="D34" s="446">
        <v>2.1999999999999999E-2</v>
      </c>
      <c r="E34" s="446">
        <v>2.1999999999999999E-2</v>
      </c>
      <c r="F34" s="446">
        <v>2.1999999999999999E-2</v>
      </c>
      <c r="G34" s="446">
        <v>2.1999999999999999E-2</v>
      </c>
      <c r="H34" s="447">
        <v>2.1999999999999999E-2</v>
      </c>
      <c r="I34" s="448"/>
      <c r="J34" s="445">
        <v>2.1999999999999999E-2</v>
      </c>
      <c r="K34" s="447">
        <v>2.1999999999999999E-2</v>
      </c>
      <c r="L34" s="377">
        <v>2.1999999999999999E-2</v>
      </c>
      <c r="M34" s="446">
        <v>2.1999999999999999E-2</v>
      </c>
      <c r="N34" s="447">
        <v>2.1999999999999999E-2</v>
      </c>
      <c r="O34" s="449">
        <v>2.1999999999999999E-2</v>
      </c>
      <c r="P34" s="450">
        <v>2.1999999999999999E-2</v>
      </c>
      <c r="Q34" s="451">
        <v>2.1999999999999999E-2</v>
      </c>
      <c r="R34" s="452">
        <v>2.1999999999999999E-2</v>
      </c>
      <c r="S34" s="450">
        <v>2.1999999999999999E-2</v>
      </c>
      <c r="T34" s="449">
        <f>S34</f>
        <v>2.1999999999999999E-2</v>
      </c>
    </row>
    <row r="35" spans="1:20" ht="15.75" x14ac:dyDescent="0.25">
      <c r="A35" s="453" t="s">
        <v>54</v>
      </c>
      <c r="B35" s="454" t="s">
        <v>51</v>
      </c>
      <c r="C35" s="311">
        <f t="shared" ref="C35:H35" si="18">C9*C34</f>
        <v>61.28212150435597</v>
      </c>
      <c r="D35" s="246">
        <f t="shared" si="18"/>
        <v>33.178937275644017</v>
      </c>
      <c r="E35" s="246">
        <f t="shared" si="18"/>
        <v>0</v>
      </c>
      <c r="F35" s="246">
        <f t="shared" si="18"/>
        <v>0</v>
      </c>
      <c r="G35" s="246">
        <f t="shared" si="18"/>
        <v>0</v>
      </c>
      <c r="H35" s="310">
        <f t="shared" si="18"/>
        <v>0</v>
      </c>
      <c r="I35" s="343">
        <f>SUM(C35:H35)</f>
        <v>94.461058779999988</v>
      </c>
      <c r="J35" s="311">
        <f>J9*J34</f>
        <v>100.8868732780832</v>
      </c>
      <c r="K35" s="310">
        <f>K9*K34</f>
        <v>35.676486694611839</v>
      </c>
      <c r="L35" s="315">
        <f>SUM(J35:K35)</f>
        <v>136.56335997269503</v>
      </c>
      <c r="M35" s="246" t="e">
        <f>M9*M34</f>
        <v>#REF!</v>
      </c>
      <c r="N35" s="310" t="e">
        <f>N9*N34</f>
        <v>#REF!</v>
      </c>
      <c r="O35" s="392" t="e">
        <f>SUM(M35:N35)</f>
        <v>#REF!</v>
      </c>
      <c r="P35" s="394">
        <f>P9*P34</f>
        <v>71.791908911799993</v>
      </c>
      <c r="Q35" s="309">
        <f>Q9*Q34</f>
        <v>25.278523680970547</v>
      </c>
      <c r="R35" s="312">
        <f>R9*R34</f>
        <v>44.626219872843834</v>
      </c>
      <c r="S35" s="394">
        <f>SUM(Q35:R35)</f>
        <v>69.904743553814384</v>
      </c>
      <c r="T35" s="316" t="e">
        <f>I35+L35+O35+P35+S35</f>
        <v>#REF!</v>
      </c>
    </row>
    <row r="36" spans="1:20" ht="15.75" x14ac:dyDescent="0.2">
      <c r="A36" s="455" t="s">
        <v>61</v>
      </c>
      <c r="B36" s="456" t="s">
        <v>40</v>
      </c>
      <c r="C36" s="457">
        <f t="shared" ref="C36:H36" si="19">5500/1.2</f>
        <v>4583.3333333333339</v>
      </c>
      <c r="D36" s="457">
        <f t="shared" si="19"/>
        <v>4583.3333333333339</v>
      </c>
      <c r="E36" s="457">
        <f t="shared" si="19"/>
        <v>4583.3333333333339</v>
      </c>
      <c r="F36" s="457">
        <f t="shared" si="19"/>
        <v>4583.3333333333339</v>
      </c>
      <c r="G36" s="457">
        <f t="shared" si="19"/>
        <v>4583.3333333333339</v>
      </c>
      <c r="H36" s="457">
        <f t="shared" si="19"/>
        <v>4583.3333333333339</v>
      </c>
      <c r="I36" s="420"/>
      <c r="J36" s="420">
        <v>5400</v>
      </c>
      <c r="K36" s="420">
        <v>5400</v>
      </c>
      <c r="L36" s="423">
        <v>5400</v>
      </c>
      <c r="M36" s="261">
        <f>[5]гуртовка!B14/1.2</f>
        <v>4771.25</v>
      </c>
      <c r="N36" s="420">
        <f>M36</f>
        <v>4771.25</v>
      </c>
      <c r="O36" s="458">
        <f>N36</f>
        <v>4771.25</v>
      </c>
      <c r="P36" s="420">
        <v>5400</v>
      </c>
      <c r="Q36" s="420">
        <v>5400</v>
      </c>
      <c r="R36" s="420">
        <v>5400</v>
      </c>
      <c r="S36" s="420">
        <v>5400</v>
      </c>
      <c r="T36" s="420">
        <v>5400</v>
      </c>
    </row>
    <row r="37" spans="1:20" ht="16.5" thickBot="1" x14ac:dyDescent="0.3">
      <c r="A37" s="459" t="s">
        <v>62</v>
      </c>
      <c r="B37" s="460" t="s">
        <v>43</v>
      </c>
      <c r="C37" s="461">
        <f t="shared" ref="C37:H37" si="20">C35*C36/1000</f>
        <v>280.87639022829825</v>
      </c>
      <c r="D37" s="462">
        <f t="shared" si="20"/>
        <v>152.07012918003508</v>
      </c>
      <c r="E37" s="462">
        <f t="shared" si="20"/>
        <v>0</v>
      </c>
      <c r="F37" s="462">
        <f t="shared" si="20"/>
        <v>0</v>
      </c>
      <c r="G37" s="462">
        <f t="shared" si="20"/>
        <v>0</v>
      </c>
      <c r="H37" s="463">
        <f t="shared" si="20"/>
        <v>0</v>
      </c>
      <c r="I37" s="464">
        <f>SUM(C37:H37)</f>
        <v>432.9465194083333</v>
      </c>
      <c r="J37" s="461">
        <f>J35*J36/1000</f>
        <v>544.78911570164939</v>
      </c>
      <c r="K37" s="463">
        <f>K35*K36/1000</f>
        <v>192.65302815090394</v>
      </c>
      <c r="L37" s="365">
        <f>SUM(J37:K37)</f>
        <v>737.44214385255327</v>
      </c>
      <c r="M37" s="462" t="e">
        <f>M35*M36/1000</f>
        <v>#REF!</v>
      </c>
      <c r="N37" s="463" t="e">
        <f>N35*N36/1000</f>
        <v>#REF!</v>
      </c>
      <c r="O37" s="465" t="e">
        <f>SUM(M37:N37)</f>
        <v>#REF!</v>
      </c>
      <c r="P37" s="466">
        <f>P35*P36/1000</f>
        <v>387.67630812371993</v>
      </c>
      <c r="Q37" s="467">
        <f>Q35*Q36/1000</f>
        <v>136.50402787724096</v>
      </c>
      <c r="R37" s="468">
        <f>R35*R36/1000</f>
        <v>240.9815873133567</v>
      </c>
      <c r="S37" s="466">
        <f>SUM(Q37:R37)</f>
        <v>377.48561519059763</v>
      </c>
      <c r="T37" s="469" t="e">
        <f>I37+L37+O37+P37+S37</f>
        <v>#REF!</v>
      </c>
    </row>
    <row r="38" spans="1:20" ht="16.5" thickBot="1" x14ac:dyDescent="0.3">
      <c r="A38" s="470" t="s">
        <v>76</v>
      </c>
      <c r="B38" s="471" t="s">
        <v>77</v>
      </c>
      <c r="C38" s="370" t="e">
        <f>#REF!+#REF!</f>
        <v>#REF!</v>
      </c>
      <c r="D38" s="370" t="e">
        <f>#REF!+#REF!</f>
        <v>#REF!</v>
      </c>
      <c r="E38" s="370" t="e">
        <f>#REF!+#REF!</f>
        <v>#REF!</v>
      </c>
      <c r="F38" s="370" t="e">
        <f>#REF!+#REF!</f>
        <v>#REF!</v>
      </c>
      <c r="G38" s="370" t="e">
        <f>#REF!+#REF!</f>
        <v>#REF!</v>
      </c>
      <c r="H38" s="370" t="e">
        <f>#REF!+#REF!</f>
        <v>#REF!</v>
      </c>
      <c r="I38" s="472" t="e">
        <f>SUM(C38:H38)</f>
        <v>#REF!</v>
      </c>
      <c r="J38" s="373" t="e">
        <f>J16+J32+#REF!</f>
        <v>#REF!</v>
      </c>
      <c r="K38" s="371" t="e">
        <f>K16+K32+#REF!</f>
        <v>#REF!</v>
      </c>
      <c r="L38" s="473" t="e">
        <f>L16+L32+#REF!</f>
        <v>#REF!</v>
      </c>
      <c r="M38" s="473" t="e">
        <f>M16+M32+M37</f>
        <v>#REF!</v>
      </c>
      <c r="N38" s="473" t="e">
        <f>N16+N32+N37</f>
        <v>#REF!</v>
      </c>
      <c r="O38" s="473" t="e">
        <f>O16+O32+O37</f>
        <v>#REF!</v>
      </c>
      <c r="P38" s="474" t="e">
        <f>P16+P32+#REF!</f>
        <v>#REF!</v>
      </c>
      <c r="Q38" s="475" t="e">
        <f>Q16+Q32+#REF!</f>
        <v>#REF!</v>
      </c>
      <c r="R38" s="476" t="e">
        <f>R16+R32+#REF!</f>
        <v>#REF!</v>
      </c>
      <c r="S38" s="474" t="e">
        <f>S16+S32+#REF!</f>
        <v>#REF!</v>
      </c>
      <c r="T38" s="375" t="e">
        <f>T16+T32+#REF!</f>
        <v>#REF!</v>
      </c>
    </row>
    <row r="40" spans="1:20" ht="15.75" x14ac:dyDescent="0.25">
      <c r="A40" s="477" t="s">
        <v>78</v>
      </c>
      <c r="O40" s="478">
        <f>[5]гуртовка!C11/1.2</f>
        <v>1660.23885</v>
      </c>
    </row>
    <row r="41" spans="1:20" ht="15.75" x14ac:dyDescent="0.25">
      <c r="A41" s="477" t="s">
        <v>79</v>
      </c>
      <c r="O41" s="479" t="e">
        <f>O38+O40</f>
        <v>#REF!</v>
      </c>
    </row>
  </sheetData>
  <customSheetViews>
    <customSheetView guid="{4F83E3D9-05C9-45DD-BE29-5010E4EF885C}" scale="60" showPageBreaks="1" printArea="1" hiddenColumns="1" state="hidden" view="pageBreakPreview">
      <selection activeCell="C9" sqref="C9"/>
      <colBreaks count="1" manualBreakCount="1">
        <brk id="15" max="1048575" man="1"/>
      </colBreaks>
      <pageMargins left="1.1023622047244095" right="0.70866141732283472" top="0.74803149606299213" bottom="0.74803149606299213" header="0.31496062992125984" footer="0.31496062992125984"/>
      <pageSetup paperSize="9" scale="89" orientation="portrait" r:id="rId1"/>
    </customSheetView>
    <customSheetView guid="{E3DB1A70-74DD-44C5-A9A7-0FA1388C0D1F}" scale="60" showPageBreaks="1" printArea="1" hiddenColumns="1" state="hidden" view="pageBreakPreview">
      <selection activeCell="C9" sqref="C9"/>
      <colBreaks count="1" manualBreakCount="1">
        <brk id="15" max="1048575" man="1"/>
      </colBreaks>
      <pageMargins left="1.1023622047244095" right="0.70866141732283472" top="0.74803149606299213" bottom="0.74803149606299213" header="0.31496062992125984" footer="0.31496062992125984"/>
      <pageSetup paperSize="9" scale="89" orientation="portrait" r:id="rId2"/>
    </customSheetView>
  </customSheetViews>
  <mergeCells count="8">
    <mergeCell ref="A17:T17"/>
    <mergeCell ref="A33:T33"/>
    <mergeCell ref="A1:T1"/>
    <mergeCell ref="B4:I4"/>
    <mergeCell ref="J4:L4"/>
    <mergeCell ref="M4:O4"/>
    <mergeCell ref="Q4:S4"/>
    <mergeCell ref="A6:I6"/>
  </mergeCells>
  <pageMargins left="1.1023622047244095" right="0.70866141732283472" top="0.74803149606299213" bottom="0.74803149606299213" header="0.31496062992125984" footer="0.31496062992125984"/>
  <pageSetup paperSize="9" scale="89" orientation="portrait" r:id="rId3"/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88"/>
  <sheetViews>
    <sheetView topLeftCell="A16" workbookViewId="0">
      <selection activeCell="C9" sqref="C9"/>
    </sheetView>
  </sheetViews>
  <sheetFormatPr defaultRowHeight="15" x14ac:dyDescent="0.25"/>
  <cols>
    <col min="2" max="2" width="28.42578125" customWidth="1"/>
    <col min="3" max="3" width="14.85546875" customWidth="1"/>
    <col min="5" max="5" width="16" customWidth="1"/>
    <col min="6" max="6" width="15.140625" customWidth="1"/>
    <col min="7" max="7" width="14.28515625" customWidth="1"/>
    <col min="11" max="11" width="12.42578125" bestFit="1" customWidth="1"/>
  </cols>
  <sheetData>
    <row r="1" spans="1:9" x14ac:dyDescent="0.25">
      <c r="A1" s="611" t="s">
        <v>80</v>
      </c>
      <c r="B1" s="611"/>
      <c r="C1" s="611"/>
      <c r="D1" s="611"/>
      <c r="E1" s="611"/>
      <c r="F1" s="611"/>
      <c r="G1" s="611"/>
      <c r="H1" s="611"/>
      <c r="I1" s="480"/>
    </row>
    <row r="2" spans="1:9" ht="15.75" x14ac:dyDescent="0.25">
      <c r="A2" s="612" t="s">
        <v>81</v>
      </c>
      <c r="B2" s="612"/>
      <c r="C2" s="612"/>
      <c r="D2" s="612"/>
      <c r="E2" s="612"/>
      <c r="F2" s="612"/>
      <c r="G2" s="612"/>
      <c r="H2" s="612"/>
      <c r="I2" s="480"/>
    </row>
    <row r="3" spans="1:9" x14ac:dyDescent="0.25">
      <c r="A3" s="480"/>
      <c r="B3" s="480"/>
      <c r="C3" s="480"/>
      <c r="D3" s="480"/>
      <c r="E3" s="480"/>
      <c r="F3" s="480"/>
      <c r="G3" s="480"/>
      <c r="H3" s="480"/>
      <c r="I3" s="480"/>
    </row>
    <row r="4" spans="1:9" ht="22.5" x14ac:dyDescent="0.25">
      <c r="A4" s="481" t="s">
        <v>82</v>
      </c>
      <c r="B4" s="613" t="s">
        <v>83</v>
      </c>
      <c r="C4" s="613"/>
      <c r="D4" s="613"/>
      <c r="E4" s="613"/>
      <c r="F4" s="613"/>
      <c r="G4" s="613"/>
      <c r="H4" s="613"/>
      <c r="I4" s="480"/>
    </row>
    <row r="5" spans="1:9" x14ac:dyDescent="0.25">
      <c r="A5" s="480"/>
      <c r="B5" s="480"/>
      <c r="C5" s="480"/>
      <c r="D5" s="480"/>
      <c r="E5" s="480"/>
      <c r="F5" s="480"/>
      <c r="G5" s="480"/>
      <c r="H5" s="480"/>
      <c r="I5" s="480"/>
    </row>
    <row r="6" spans="1:9" x14ac:dyDescent="0.25">
      <c r="A6" s="481" t="s">
        <v>84</v>
      </c>
      <c r="B6" s="613" t="s">
        <v>85</v>
      </c>
      <c r="C6" s="613"/>
      <c r="D6" s="613"/>
      <c r="E6" s="613"/>
      <c r="F6" s="613"/>
      <c r="G6" s="613"/>
      <c r="H6" s="613"/>
      <c r="I6" s="480"/>
    </row>
    <row r="7" spans="1:9" x14ac:dyDescent="0.25">
      <c r="A7" s="480"/>
      <c r="B7" s="480"/>
      <c r="C7" s="480"/>
      <c r="D7" s="480"/>
      <c r="E7" s="480"/>
      <c r="F7" s="480"/>
      <c r="G7" s="480"/>
      <c r="H7" s="480"/>
      <c r="I7" s="480"/>
    </row>
    <row r="8" spans="1:9" x14ac:dyDescent="0.25">
      <c r="A8" s="608" t="s">
        <v>86</v>
      </c>
      <c r="B8" s="608"/>
      <c r="C8" s="614" t="s">
        <v>87</v>
      </c>
      <c r="D8" s="614"/>
      <c r="E8" s="614" t="s">
        <v>88</v>
      </c>
      <c r="F8" s="614"/>
      <c r="G8" s="614" t="s">
        <v>89</v>
      </c>
      <c r="H8" s="614"/>
      <c r="I8" s="614"/>
    </row>
    <row r="9" spans="1:9" x14ac:dyDescent="0.25">
      <c r="A9" s="608" t="s">
        <v>90</v>
      </c>
      <c r="B9" s="608"/>
      <c r="C9" s="605" t="s">
        <v>91</v>
      </c>
      <c r="D9" s="605" t="s">
        <v>92</v>
      </c>
      <c r="E9" s="605" t="s">
        <v>91</v>
      </c>
      <c r="F9" s="605" t="s">
        <v>92</v>
      </c>
      <c r="G9" s="605" t="s">
        <v>91</v>
      </c>
      <c r="H9" s="605" t="s">
        <v>92</v>
      </c>
      <c r="I9" s="605"/>
    </row>
    <row r="10" spans="1:9" x14ac:dyDescent="0.25">
      <c r="A10" s="608" t="s">
        <v>93</v>
      </c>
      <c r="B10" s="608"/>
      <c r="C10" s="610"/>
      <c r="D10" s="610"/>
      <c r="E10" s="610"/>
      <c r="F10" s="610"/>
      <c r="G10" s="610"/>
      <c r="H10" s="606"/>
      <c r="I10" s="607"/>
    </row>
    <row r="11" spans="1:9" x14ac:dyDescent="0.25">
      <c r="A11" s="609" t="s">
        <v>94</v>
      </c>
      <c r="B11" s="609"/>
      <c r="C11" s="482">
        <v>-13984005.960000001</v>
      </c>
      <c r="D11" s="483"/>
      <c r="E11" s="484">
        <v>325950977.33999997</v>
      </c>
      <c r="F11" s="484">
        <v>325950977.33999997</v>
      </c>
      <c r="G11" s="482">
        <v>-13984005.960000001</v>
      </c>
      <c r="H11" s="485"/>
      <c r="I11" s="486"/>
    </row>
    <row r="12" spans="1:9" x14ac:dyDescent="0.25">
      <c r="A12" s="604" t="s">
        <v>95</v>
      </c>
      <c r="B12" s="604"/>
      <c r="C12" s="487">
        <v>-179133.1</v>
      </c>
      <c r="D12" s="488"/>
      <c r="E12" s="489">
        <v>29397444.84</v>
      </c>
      <c r="F12" s="489">
        <v>29397444.84</v>
      </c>
      <c r="G12" s="487">
        <v>-179133.1</v>
      </c>
      <c r="H12" s="490"/>
      <c r="I12" s="491"/>
    </row>
    <row r="13" spans="1:9" x14ac:dyDescent="0.25">
      <c r="A13" s="601" t="s">
        <v>96</v>
      </c>
      <c r="B13" s="601"/>
      <c r="C13" s="492"/>
      <c r="D13" s="492"/>
      <c r="E13" s="492"/>
      <c r="F13" s="493">
        <v>29397444.84</v>
      </c>
      <c r="G13" s="492"/>
      <c r="H13" s="494"/>
      <c r="I13" s="495"/>
    </row>
    <row r="14" spans="1:9" x14ac:dyDescent="0.25">
      <c r="A14" s="601" t="s">
        <v>97</v>
      </c>
      <c r="B14" s="601"/>
      <c r="C14" s="492"/>
      <c r="D14" s="492"/>
      <c r="E14" s="493">
        <v>142116.39000000001</v>
      </c>
      <c r="F14" s="492"/>
      <c r="G14" s="492"/>
      <c r="H14" s="494"/>
      <c r="I14" s="495"/>
    </row>
    <row r="15" spans="1:9" x14ac:dyDescent="0.25">
      <c r="A15" s="601" t="s">
        <v>98</v>
      </c>
      <c r="B15" s="601"/>
      <c r="C15" s="492"/>
      <c r="D15" s="492"/>
      <c r="E15" s="493">
        <v>14179.06</v>
      </c>
      <c r="F15" s="492"/>
      <c r="G15" s="492"/>
      <c r="H15" s="494"/>
      <c r="I15" s="495"/>
    </row>
    <row r="16" spans="1:9" x14ac:dyDescent="0.25">
      <c r="A16" s="601" t="s">
        <v>1</v>
      </c>
      <c r="B16" s="601"/>
      <c r="C16" s="492"/>
      <c r="D16" s="492"/>
      <c r="E16" s="493">
        <v>15634.33</v>
      </c>
      <c r="F16" s="492"/>
      <c r="G16" s="492"/>
      <c r="H16" s="494"/>
      <c r="I16" s="495"/>
    </row>
    <row r="17" spans="1:11" x14ac:dyDescent="0.25">
      <c r="A17" s="601" t="s">
        <v>99</v>
      </c>
      <c r="B17" s="601"/>
      <c r="C17" s="492"/>
      <c r="D17" s="492"/>
      <c r="E17" s="493">
        <v>108398.64</v>
      </c>
      <c r="F17" s="492"/>
      <c r="G17" s="492"/>
      <c r="H17" s="494"/>
      <c r="I17" s="495"/>
    </row>
    <row r="18" spans="1:11" x14ac:dyDescent="0.25">
      <c r="A18" s="601" t="s">
        <v>64</v>
      </c>
      <c r="B18" s="601"/>
      <c r="C18" s="492"/>
      <c r="D18" s="492"/>
      <c r="E18" s="493">
        <v>397373.44</v>
      </c>
      <c r="F18" s="492"/>
      <c r="G18" s="492"/>
      <c r="H18" s="494"/>
      <c r="I18" s="495"/>
      <c r="K18" s="499">
        <f>E16+E18+E19+E25+E26+E27+E20</f>
        <v>1812381.4300000002</v>
      </c>
    </row>
    <row r="19" spans="1:11" x14ac:dyDescent="0.25">
      <c r="A19" s="601" t="s">
        <v>100</v>
      </c>
      <c r="B19" s="601"/>
      <c r="C19" s="492"/>
      <c r="D19" s="492"/>
      <c r="E19" s="493">
        <v>65250</v>
      </c>
      <c r="F19" s="492"/>
      <c r="G19" s="492"/>
      <c r="H19" s="494"/>
      <c r="I19" s="495"/>
    </row>
    <row r="20" spans="1:11" x14ac:dyDescent="0.25">
      <c r="A20" s="601" t="s">
        <v>101</v>
      </c>
      <c r="B20" s="601"/>
      <c r="C20" s="492"/>
      <c r="D20" s="492"/>
      <c r="E20" s="493">
        <v>545729.02</v>
      </c>
      <c r="F20" s="492"/>
      <c r="G20" s="492"/>
      <c r="H20" s="494"/>
      <c r="I20" s="495"/>
    </row>
    <row r="21" spans="1:11" x14ac:dyDescent="0.25">
      <c r="A21" s="601" t="s">
        <v>102</v>
      </c>
      <c r="B21" s="601"/>
      <c r="C21" s="492"/>
      <c r="D21" s="492"/>
      <c r="E21" s="493">
        <v>33778.959999999999</v>
      </c>
      <c r="F21" s="492"/>
      <c r="G21" s="492"/>
      <c r="H21" s="494"/>
      <c r="I21" s="495"/>
    </row>
    <row r="22" spans="1:11" x14ac:dyDescent="0.25">
      <c r="A22" s="601" t="s">
        <v>103</v>
      </c>
      <c r="B22" s="601"/>
      <c r="C22" s="492"/>
      <c r="D22" s="492"/>
      <c r="E22" s="493">
        <v>88480.83</v>
      </c>
      <c r="F22" s="492"/>
      <c r="G22" s="492"/>
      <c r="H22" s="494"/>
      <c r="I22" s="495"/>
    </row>
    <row r="23" spans="1:11" x14ac:dyDescent="0.25">
      <c r="A23" s="601" t="s">
        <v>104</v>
      </c>
      <c r="B23" s="601"/>
      <c r="C23" s="492"/>
      <c r="D23" s="492"/>
      <c r="E23" s="493">
        <v>7361875.9900000002</v>
      </c>
      <c r="F23" s="492"/>
      <c r="G23" s="492"/>
      <c r="H23" s="494"/>
      <c r="I23" s="495"/>
    </row>
    <row r="24" spans="1:11" x14ac:dyDescent="0.25">
      <c r="A24" s="601" t="s">
        <v>105</v>
      </c>
      <c r="B24" s="601"/>
      <c r="C24" s="492"/>
      <c r="D24" s="492"/>
      <c r="E24" s="493">
        <v>1561.51</v>
      </c>
      <c r="F24" s="492"/>
      <c r="G24" s="492"/>
      <c r="H24" s="494"/>
      <c r="I24" s="495"/>
    </row>
    <row r="25" spans="1:11" x14ac:dyDescent="0.25">
      <c r="A25" s="601" t="s">
        <v>106</v>
      </c>
      <c r="B25" s="601"/>
      <c r="C25" s="492"/>
      <c r="D25" s="492"/>
      <c r="E25" s="493">
        <v>467699.59</v>
      </c>
      <c r="F25" s="492"/>
      <c r="G25" s="492"/>
      <c r="H25" s="494"/>
      <c r="I25" s="495"/>
    </row>
    <row r="26" spans="1:11" x14ac:dyDescent="0.25">
      <c r="A26" s="601" t="s">
        <v>0</v>
      </c>
      <c r="B26" s="601"/>
      <c r="C26" s="492"/>
      <c r="D26" s="492"/>
      <c r="E26" s="493">
        <v>9621.67</v>
      </c>
      <c r="F26" s="492"/>
      <c r="G26" s="492"/>
      <c r="H26" s="494"/>
      <c r="I26" s="495"/>
    </row>
    <row r="27" spans="1:11" x14ac:dyDescent="0.25">
      <c r="A27" s="601" t="s">
        <v>69</v>
      </c>
      <c r="B27" s="601"/>
      <c r="C27" s="492"/>
      <c r="D27" s="492"/>
      <c r="E27" s="493">
        <v>311073.38</v>
      </c>
      <c r="F27" s="492"/>
      <c r="G27" s="492"/>
      <c r="H27" s="494"/>
      <c r="I27" s="495"/>
    </row>
    <row r="28" spans="1:11" x14ac:dyDescent="0.25">
      <c r="A28" s="601" t="s">
        <v>107</v>
      </c>
      <c r="B28" s="601"/>
      <c r="C28" s="492"/>
      <c r="D28" s="492"/>
      <c r="E28" s="493">
        <v>1744107.12</v>
      </c>
      <c r="F28" s="492"/>
      <c r="G28" s="492"/>
      <c r="H28" s="494"/>
      <c r="I28" s="495"/>
    </row>
    <row r="29" spans="1:11" x14ac:dyDescent="0.25">
      <c r="A29" s="601" t="s">
        <v>108</v>
      </c>
      <c r="B29" s="601"/>
      <c r="C29" s="492"/>
      <c r="D29" s="492"/>
      <c r="E29" s="493">
        <v>82665.38</v>
      </c>
      <c r="F29" s="492"/>
      <c r="G29" s="492"/>
      <c r="H29" s="494"/>
      <c r="I29" s="495"/>
    </row>
    <row r="30" spans="1:11" x14ac:dyDescent="0.25">
      <c r="A30" s="601" t="s">
        <v>109</v>
      </c>
      <c r="B30" s="601"/>
      <c r="C30" s="492"/>
      <c r="D30" s="492"/>
      <c r="E30" s="493">
        <v>338611.5</v>
      </c>
      <c r="F30" s="492"/>
      <c r="G30" s="492"/>
      <c r="H30" s="494"/>
      <c r="I30" s="495"/>
    </row>
    <row r="31" spans="1:11" x14ac:dyDescent="0.25">
      <c r="A31" s="601" t="s">
        <v>110</v>
      </c>
      <c r="B31" s="601"/>
      <c r="C31" s="492"/>
      <c r="D31" s="492"/>
      <c r="E31" s="493">
        <v>15759944.15</v>
      </c>
      <c r="F31" s="492"/>
      <c r="G31" s="492"/>
      <c r="H31" s="494"/>
      <c r="I31" s="495"/>
    </row>
    <row r="32" spans="1:11" x14ac:dyDescent="0.25">
      <c r="A32" s="601" t="s">
        <v>111</v>
      </c>
      <c r="B32" s="601"/>
      <c r="C32" s="492"/>
      <c r="D32" s="492"/>
      <c r="E32" s="493">
        <v>155296.66</v>
      </c>
      <c r="F32" s="492"/>
      <c r="G32" s="492"/>
      <c r="H32" s="494"/>
      <c r="I32" s="495"/>
    </row>
    <row r="33" spans="1:11" x14ac:dyDescent="0.25">
      <c r="A33" s="601" t="s">
        <v>112</v>
      </c>
      <c r="B33" s="601"/>
      <c r="C33" s="492"/>
      <c r="D33" s="492"/>
      <c r="E33" s="493">
        <v>1754047.22</v>
      </c>
      <c r="F33" s="492"/>
      <c r="G33" s="492"/>
      <c r="H33" s="494"/>
      <c r="I33" s="495"/>
    </row>
    <row r="34" spans="1:11" x14ac:dyDescent="0.25">
      <c r="A34" s="604" t="s">
        <v>113</v>
      </c>
      <c r="B34" s="604"/>
      <c r="C34" s="487">
        <v>-713058.3</v>
      </c>
      <c r="D34" s="488"/>
      <c r="E34" s="489">
        <v>46821132.399999999</v>
      </c>
      <c r="F34" s="489">
        <v>46821132.399999999</v>
      </c>
      <c r="G34" s="487">
        <v>-713058.3</v>
      </c>
      <c r="H34" s="490"/>
      <c r="I34" s="491"/>
    </row>
    <row r="35" spans="1:11" x14ac:dyDescent="0.25">
      <c r="A35" s="601" t="s">
        <v>96</v>
      </c>
      <c r="B35" s="601"/>
      <c r="C35" s="492"/>
      <c r="D35" s="492"/>
      <c r="E35" s="492"/>
      <c r="F35" s="493">
        <v>46821132.399999999</v>
      </c>
      <c r="G35" s="492"/>
      <c r="H35" s="494"/>
      <c r="I35" s="495"/>
    </row>
    <row r="36" spans="1:11" x14ac:dyDescent="0.25">
      <c r="A36" s="601" t="s">
        <v>97</v>
      </c>
      <c r="B36" s="601"/>
      <c r="C36" s="492"/>
      <c r="D36" s="492"/>
      <c r="E36" s="493">
        <v>1488182.04</v>
      </c>
      <c r="F36" s="492"/>
      <c r="G36" s="492"/>
      <c r="H36" s="494"/>
      <c r="I36" s="495"/>
    </row>
    <row r="37" spans="1:11" x14ac:dyDescent="0.25">
      <c r="A37" s="601" t="s">
        <v>98</v>
      </c>
      <c r="B37" s="601"/>
      <c r="C37" s="492"/>
      <c r="D37" s="492"/>
      <c r="E37" s="493">
        <v>19956.599999999999</v>
      </c>
      <c r="F37" s="492"/>
      <c r="G37" s="492"/>
      <c r="H37" s="494"/>
      <c r="I37" s="495"/>
    </row>
    <row r="38" spans="1:11" x14ac:dyDescent="0.25">
      <c r="A38" s="601" t="s">
        <v>1</v>
      </c>
      <c r="B38" s="601"/>
      <c r="C38" s="492"/>
      <c r="D38" s="492"/>
      <c r="E38" s="493">
        <v>377711.25</v>
      </c>
      <c r="F38" s="492"/>
      <c r="G38" s="492"/>
      <c r="H38" s="494"/>
      <c r="I38" s="495"/>
    </row>
    <row r="39" spans="1:11" x14ac:dyDescent="0.25">
      <c r="A39" s="601" t="s">
        <v>99</v>
      </c>
      <c r="B39" s="601"/>
      <c r="C39" s="492"/>
      <c r="D39" s="492"/>
      <c r="E39" s="493">
        <v>8704.5499999999993</v>
      </c>
      <c r="F39" s="492"/>
      <c r="G39" s="492"/>
      <c r="H39" s="494"/>
      <c r="I39" s="495"/>
    </row>
    <row r="40" spans="1:11" x14ac:dyDescent="0.25">
      <c r="A40" s="601" t="s">
        <v>64</v>
      </c>
      <c r="B40" s="601"/>
      <c r="C40" s="492"/>
      <c r="D40" s="492"/>
      <c r="E40" s="493">
        <v>703117.05</v>
      </c>
      <c r="F40" s="492"/>
      <c r="G40" s="492"/>
      <c r="H40" s="494"/>
      <c r="I40" s="495"/>
    </row>
    <row r="41" spans="1:11" x14ac:dyDescent="0.25">
      <c r="A41" s="601" t="s">
        <v>100</v>
      </c>
      <c r="B41" s="601"/>
      <c r="C41" s="492"/>
      <c r="D41" s="492"/>
      <c r="E41" s="493">
        <v>45000</v>
      </c>
      <c r="F41" s="492"/>
      <c r="G41" s="492"/>
      <c r="H41" s="494"/>
      <c r="I41" s="495"/>
    </row>
    <row r="42" spans="1:11" x14ac:dyDescent="0.25">
      <c r="A42" s="601" t="s">
        <v>101</v>
      </c>
      <c r="B42" s="601"/>
      <c r="C42" s="492"/>
      <c r="D42" s="492"/>
      <c r="E42" s="493">
        <v>3076009.08</v>
      </c>
      <c r="F42" s="492"/>
      <c r="G42" s="492"/>
      <c r="H42" s="494"/>
      <c r="I42" s="495"/>
    </row>
    <row r="43" spans="1:11" x14ac:dyDescent="0.25">
      <c r="A43" s="601" t="s">
        <v>102</v>
      </c>
      <c r="B43" s="601"/>
      <c r="C43" s="492"/>
      <c r="D43" s="492"/>
      <c r="E43" s="493">
        <v>22504.66</v>
      </c>
      <c r="F43" s="492"/>
      <c r="G43" s="492"/>
      <c r="H43" s="494"/>
      <c r="I43" s="495"/>
    </row>
    <row r="44" spans="1:11" x14ac:dyDescent="0.25">
      <c r="A44" s="601" t="s">
        <v>103</v>
      </c>
      <c r="B44" s="601"/>
      <c r="C44" s="492"/>
      <c r="D44" s="492"/>
      <c r="E44" s="493">
        <v>2557.17</v>
      </c>
      <c r="F44" s="492"/>
      <c r="G44" s="492"/>
      <c r="H44" s="494"/>
      <c r="I44" s="495"/>
    </row>
    <row r="45" spans="1:11" x14ac:dyDescent="0.25">
      <c r="A45" s="601" t="s">
        <v>104</v>
      </c>
      <c r="B45" s="601"/>
      <c r="C45" s="492"/>
      <c r="D45" s="492"/>
      <c r="E45" s="493">
        <v>10363013.539999999</v>
      </c>
      <c r="F45" s="492"/>
      <c r="G45" s="492"/>
      <c r="H45" s="494"/>
      <c r="I45" s="495"/>
      <c r="K45" s="499">
        <f>E38+E40+E41+E42+E46+E47+E48</f>
        <v>5641334.0700000003</v>
      </c>
    </row>
    <row r="46" spans="1:11" x14ac:dyDescent="0.25">
      <c r="A46" s="601" t="s">
        <v>106</v>
      </c>
      <c r="B46" s="601"/>
      <c r="C46" s="492"/>
      <c r="D46" s="492"/>
      <c r="E46" s="493">
        <v>602024.03</v>
      </c>
      <c r="F46" s="492"/>
      <c r="G46" s="492"/>
      <c r="H46" s="494"/>
      <c r="I46" s="495"/>
    </row>
    <row r="47" spans="1:11" x14ac:dyDescent="0.25">
      <c r="A47" s="601" t="s">
        <v>0</v>
      </c>
      <c r="B47" s="601"/>
      <c r="C47" s="492"/>
      <c r="D47" s="492"/>
      <c r="E47" s="493">
        <v>134703.35</v>
      </c>
      <c r="F47" s="492"/>
      <c r="G47" s="492"/>
      <c r="H47" s="494"/>
      <c r="I47" s="495"/>
    </row>
    <row r="48" spans="1:11" x14ac:dyDescent="0.25">
      <c r="A48" s="601" t="s">
        <v>69</v>
      </c>
      <c r="B48" s="601"/>
      <c r="C48" s="492"/>
      <c r="D48" s="492"/>
      <c r="E48" s="493">
        <v>702769.31</v>
      </c>
      <c r="F48" s="492"/>
      <c r="G48" s="492"/>
      <c r="H48" s="494"/>
      <c r="I48" s="495"/>
    </row>
    <row r="49" spans="1:9" x14ac:dyDescent="0.25">
      <c r="A49" s="601" t="s">
        <v>107</v>
      </c>
      <c r="B49" s="601"/>
      <c r="C49" s="492"/>
      <c r="D49" s="492"/>
      <c r="E49" s="493">
        <v>2620729.2599999998</v>
      </c>
      <c r="F49" s="492"/>
      <c r="G49" s="492"/>
      <c r="H49" s="494"/>
      <c r="I49" s="495"/>
    </row>
    <row r="50" spans="1:9" x14ac:dyDescent="0.25">
      <c r="A50" s="601" t="s">
        <v>108</v>
      </c>
      <c r="B50" s="601"/>
      <c r="C50" s="492"/>
      <c r="D50" s="492"/>
      <c r="E50" s="493">
        <v>14934.21</v>
      </c>
      <c r="F50" s="492"/>
      <c r="G50" s="492"/>
      <c r="H50" s="494"/>
      <c r="I50" s="495"/>
    </row>
    <row r="51" spans="1:9" x14ac:dyDescent="0.25">
      <c r="A51" s="601" t="s">
        <v>109</v>
      </c>
      <c r="B51" s="601"/>
      <c r="C51" s="492"/>
      <c r="D51" s="492"/>
      <c r="E51" s="493">
        <v>11478457.5</v>
      </c>
      <c r="F51" s="492"/>
      <c r="G51" s="492"/>
      <c r="H51" s="494"/>
      <c r="I51" s="495"/>
    </row>
    <row r="52" spans="1:9" x14ac:dyDescent="0.25">
      <c r="A52" s="601" t="s">
        <v>110</v>
      </c>
      <c r="B52" s="601"/>
      <c r="C52" s="492"/>
      <c r="D52" s="492"/>
      <c r="E52" s="493">
        <v>13210724.699999999</v>
      </c>
      <c r="F52" s="492"/>
      <c r="G52" s="492"/>
      <c r="H52" s="494"/>
      <c r="I52" s="495"/>
    </row>
    <row r="53" spans="1:9" x14ac:dyDescent="0.25">
      <c r="A53" s="601" t="s">
        <v>111</v>
      </c>
      <c r="B53" s="601"/>
      <c r="C53" s="492"/>
      <c r="D53" s="492"/>
      <c r="E53" s="493">
        <v>335925.68</v>
      </c>
      <c r="F53" s="492"/>
      <c r="G53" s="492"/>
      <c r="H53" s="494"/>
      <c r="I53" s="495"/>
    </row>
    <row r="54" spans="1:9" x14ac:dyDescent="0.25">
      <c r="A54" s="601" t="s">
        <v>112</v>
      </c>
      <c r="B54" s="601"/>
      <c r="C54" s="492"/>
      <c r="D54" s="492"/>
      <c r="E54" s="493">
        <v>1614108.42</v>
      </c>
      <c r="F54" s="492"/>
      <c r="G54" s="492"/>
      <c r="H54" s="494"/>
      <c r="I54" s="495"/>
    </row>
    <row r="55" spans="1:9" x14ac:dyDescent="0.25">
      <c r="A55" s="604" t="s">
        <v>114</v>
      </c>
      <c r="B55" s="604"/>
      <c r="C55" s="487">
        <v>-13091814.560000001</v>
      </c>
      <c r="D55" s="488"/>
      <c r="E55" s="489">
        <v>242840816.80000001</v>
      </c>
      <c r="F55" s="489">
        <v>242840816.80000001</v>
      </c>
      <c r="G55" s="487">
        <v>-13091814.560000001</v>
      </c>
      <c r="H55" s="490"/>
      <c r="I55" s="491"/>
    </row>
    <row r="56" spans="1:9" x14ac:dyDescent="0.25">
      <c r="A56" s="601" t="s">
        <v>96</v>
      </c>
      <c r="B56" s="601"/>
      <c r="C56" s="492"/>
      <c r="D56" s="492"/>
      <c r="E56" s="492"/>
      <c r="F56" s="493">
        <v>242840816.80000001</v>
      </c>
      <c r="G56" s="492"/>
      <c r="H56" s="494"/>
      <c r="I56" s="495"/>
    </row>
    <row r="57" spans="1:9" x14ac:dyDescent="0.25">
      <c r="A57" s="601" t="s">
        <v>97</v>
      </c>
      <c r="B57" s="601"/>
      <c r="C57" s="492"/>
      <c r="D57" s="492"/>
      <c r="E57" s="493">
        <v>3515910.18</v>
      </c>
      <c r="F57" s="492"/>
      <c r="G57" s="492"/>
      <c r="H57" s="494"/>
      <c r="I57" s="495"/>
    </row>
    <row r="58" spans="1:9" x14ac:dyDescent="0.25">
      <c r="A58" s="601" t="s">
        <v>98</v>
      </c>
      <c r="B58" s="601"/>
      <c r="C58" s="492"/>
      <c r="D58" s="492"/>
      <c r="E58" s="493">
        <v>126112.41</v>
      </c>
      <c r="F58" s="492"/>
      <c r="G58" s="492"/>
      <c r="H58" s="494"/>
      <c r="I58" s="495"/>
    </row>
    <row r="59" spans="1:9" x14ac:dyDescent="0.25">
      <c r="A59" s="601" t="s">
        <v>1</v>
      </c>
      <c r="B59" s="601"/>
      <c r="C59" s="492"/>
      <c r="D59" s="492"/>
      <c r="E59" s="493">
        <v>1672387.42</v>
      </c>
      <c r="F59" s="492"/>
      <c r="G59" s="492"/>
      <c r="H59" s="494"/>
      <c r="I59" s="495"/>
    </row>
    <row r="60" spans="1:9" x14ac:dyDescent="0.25">
      <c r="A60" s="601" t="s">
        <v>99</v>
      </c>
      <c r="B60" s="601"/>
      <c r="C60" s="492"/>
      <c r="D60" s="492"/>
      <c r="E60" s="493">
        <v>212309.66</v>
      </c>
      <c r="F60" s="492"/>
      <c r="G60" s="492"/>
      <c r="H60" s="494"/>
      <c r="I60" s="495"/>
    </row>
    <row r="61" spans="1:9" x14ac:dyDescent="0.25">
      <c r="A61" s="601" t="s">
        <v>64</v>
      </c>
      <c r="B61" s="601"/>
      <c r="C61" s="492"/>
      <c r="D61" s="492"/>
      <c r="E61" s="493">
        <v>7033074.6299999999</v>
      </c>
      <c r="F61" s="492"/>
      <c r="G61" s="492"/>
      <c r="H61" s="494"/>
      <c r="I61" s="495"/>
    </row>
    <row r="62" spans="1:9" x14ac:dyDescent="0.25">
      <c r="A62" s="601" t="s">
        <v>101</v>
      </c>
      <c r="B62" s="601"/>
      <c r="C62" s="492"/>
      <c r="D62" s="492"/>
      <c r="E62" s="493">
        <v>4925116.92</v>
      </c>
      <c r="F62" s="492"/>
      <c r="G62" s="492"/>
      <c r="H62" s="494"/>
      <c r="I62" s="495"/>
    </row>
    <row r="63" spans="1:9" x14ac:dyDescent="0.25">
      <c r="A63" s="601" t="s">
        <v>115</v>
      </c>
      <c r="B63" s="601"/>
      <c r="C63" s="492"/>
      <c r="D63" s="492"/>
      <c r="E63" s="493">
        <v>5076709.2699999996</v>
      </c>
      <c r="F63" s="492"/>
      <c r="G63" s="492"/>
      <c r="H63" s="494"/>
      <c r="I63" s="495"/>
    </row>
    <row r="64" spans="1:9" x14ac:dyDescent="0.25">
      <c r="A64" s="601" t="s">
        <v>116</v>
      </c>
      <c r="B64" s="601"/>
      <c r="C64" s="492"/>
      <c r="D64" s="492"/>
      <c r="E64" s="496">
        <v>490</v>
      </c>
      <c r="F64" s="492"/>
      <c r="G64" s="492"/>
      <c r="H64" s="494"/>
      <c r="I64" s="495"/>
    </row>
    <row r="65" spans="1:11" x14ac:dyDescent="0.25">
      <c r="A65" s="601" t="s">
        <v>102</v>
      </c>
      <c r="B65" s="601"/>
      <c r="C65" s="492"/>
      <c r="D65" s="492"/>
      <c r="E65" s="493">
        <v>692074.76</v>
      </c>
      <c r="F65" s="492"/>
      <c r="G65" s="492"/>
      <c r="H65" s="494"/>
      <c r="I65" s="495"/>
    </row>
    <row r="66" spans="1:11" x14ac:dyDescent="0.25">
      <c r="A66" s="601" t="s">
        <v>103</v>
      </c>
      <c r="B66" s="601"/>
      <c r="C66" s="492"/>
      <c r="D66" s="492"/>
      <c r="E66" s="493">
        <v>212714.01</v>
      </c>
      <c r="F66" s="492"/>
      <c r="G66" s="492"/>
      <c r="H66" s="494"/>
      <c r="I66" s="495"/>
    </row>
    <row r="67" spans="1:11" x14ac:dyDescent="0.25">
      <c r="A67" s="601" t="s">
        <v>104</v>
      </c>
      <c r="B67" s="601"/>
      <c r="C67" s="492"/>
      <c r="D67" s="492"/>
      <c r="E67" s="493">
        <v>65717123.950000003</v>
      </c>
      <c r="F67" s="492"/>
      <c r="G67" s="492"/>
      <c r="H67" s="494"/>
      <c r="I67" s="495"/>
    </row>
    <row r="68" spans="1:11" x14ac:dyDescent="0.25">
      <c r="A68" s="601" t="s">
        <v>105</v>
      </c>
      <c r="B68" s="601"/>
      <c r="C68" s="492"/>
      <c r="D68" s="492"/>
      <c r="E68" s="493">
        <v>1646.55</v>
      </c>
      <c r="F68" s="492"/>
      <c r="G68" s="492"/>
      <c r="H68" s="494"/>
      <c r="I68" s="495"/>
    </row>
    <row r="69" spans="1:11" x14ac:dyDescent="0.25">
      <c r="A69" s="601" t="s">
        <v>117</v>
      </c>
      <c r="B69" s="601"/>
      <c r="C69" s="492"/>
      <c r="D69" s="492"/>
      <c r="E69" s="493">
        <v>963833.65</v>
      </c>
      <c r="F69" s="492"/>
      <c r="G69" s="492"/>
      <c r="H69" s="494"/>
      <c r="I69" s="495"/>
    </row>
    <row r="70" spans="1:11" x14ac:dyDescent="0.25">
      <c r="A70" s="601" t="s">
        <v>106</v>
      </c>
      <c r="B70" s="601"/>
      <c r="C70" s="492"/>
      <c r="D70" s="492"/>
      <c r="E70" s="493">
        <v>5350440.87</v>
      </c>
      <c r="F70" s="492"/>
      <c r="G70" s="492"/>
      <c r="H70" s="494"/>
      <c r="I70" s="495"/>
    </row>
    <row r="71" spans="1:11" x14ac:dyDescent="0.25">
      <c r="A71" s="601" t="s">
        <v>0</v>
      </c>
      <c r="B71" s="601"/>
      <c r="C71" s="492"/>
      <c r="D71" s="492"/>
      <c r="E71" s="493">
        <v>2337018.33</v>
      </c>
      <c r="F71" s="492"/>
      <c r="G71" s="492"/>
      <c r="H71" s="494"/>
      <c r="I71" s="495"/>
      <c r="K71" s="499">
        <f>E59+E61+E62+E69+E70+E71+E72</f>
        <v>24866754.699999999</v>
      </c>
    </row>
    <row r="72" spans="1:11" x14ac:dyDescent="0.25">
      <c r="A72" s="601" t="s">
        <v>69</v>
      </c>
      <c r="B72" s="601"/>
      <c r="C72" s="492"/>
      <c r="D72" s="492"/>
      <c r="E72" s="493">
        <v>2584882.88</v>
      </c>
      <c r="F72" s="492"/>
      <c r="G72" s="492"/>
      <c r="H72" s="494"/>
      <c r="I72" s="495"/>
    </row>
    <row r="73" spans="1:11" x14ac:dyDescent="0.25">
      <c r="A73" s="601" t="s">
        <v>118</v>
      </c>
      <c r="B73" s="601"/>
      <c r="C73" s="492"/>
      <c r="D73" s="492"/>
      <c r="E73" s="493">
        <v>67848</v>
      </c>
      <c r="F73" s="492"/>
      <c r="G73" s="492"/>
      <c r="H73" s="494"/>
      <c r="I73" s="495"/>
    </row>
    <row r="74" spans="1:11" x14ac:dyDescent="0.25">
      <c r="A74" s="601" t="s">
        <v>119</v>
      </c>
      <c r="B74" s="601"/>
      <c r="C74" s="492"/>
      <c r="D74" s="492"/>
      <c r="E74" s="493">
        <v>153311</v>
      </c>
      <c r="F74" s="492"/>
      <c r="G74" s="492"/>
      <c r="H74" s="494"/>
      <c r="I74" s="495"/>
    </row>
    <row r="75" spans="1:11" x14ac:dyDescent="0.25">
      <c r="A75" s="601" t="s">
        <v>120</v>
      </c>
      <c r="B75" s="601"/>
      <c r="C75" s="492"/>
      <c r="D75" s="492"/>
      <c r="E75" s="493">
        <v>32261.200000000001</v>
      </c>
      <c r="F75" s="492"/>
      <c r="G75" s="492"/>
      <c r="H75" s="494"/>
      <c r="I75" s="495"/>
    </row>
    <row r="76" spans="1:11" x14ac:dyDescent="0.25">
      <c r="A76" s="601" t="s">
        <v>107</v>
      </c>
      <c r="B76" s="601"/>
      <c r="C76" s="492"/>
      <c r="D76" s="492"/>
      <c r="E76" s="493">
        <v>15024646.630000001</v>
      </c>
      <c r="F76" s="492"/>
      <c r="G76" s="492"/>
      <c r="H76" s="494"/>
      <c r="I76" s="495"/>
    </row>
    <row r="77" spans="1:11" x14ac:dyDescent="0.25">
      <c r="A77" s="601" t="s">
        <v>108</v>
      </c>
      <c r="B77" s="601"/>
      <c r="C77" s="492"/>
      <c r="D77" s="492"/>
      <c r="E77" s="493">
        <v>1245491.8999999999</v>
      </c>
      <c r="F77" s="492"/>
      <c r="G77" s="492"/>
      <c r="H77" s="494"/>
      <c r="I77" s="495"/>
    </row>
    <row r="78" spans="1:11" x14ac:dyDescent="0.25">
      <c r="A78" s="601" t="s">
        <v>109</v>
      </c>
      <c r="B78" s="601"/>
      <c r="C78" s="492"/>
      <c r="D78" s="492"/>
      <c r="E78" s="493">
        <v>51350860.5</v>
      </c>
      <c r="F78" s="492"/>
      <c r="G78" s="492"/>
      <c r="H78" s="494"/>
      <c r="I78" s="495"/>
    </row>
    <row r="79" spans="1:11" x14ac:dyDescent="0.25">
      <c r="A79" s="601" t="s">
        <v>110</v>
      </c>
      <c r="B79" s="601"/>
      <c r="C79" s="492"/>
      <c r="D79" s="492"/>
      <c r="E79" s="493">
        <v>63534797.670000002</v>
      </c>
      <c r="F79" s="492"/>
      <c r="G79" s="492"/>
      <c r="H79" s="494"/>
      <c r="I79" s="495"/>
    </row>
    <row r="80" spans="1:11" x14ac:dyDescent="0.25">
      <c r="A80" s="601" t="s">
        <v>111</v>
      </c>
      <c r="B80" s="601"/>
      <c r="C80" s="492"/>
      <c r="D80" s="492"/>
      <c r="E80" s="493">
        <v>798352.42</v>
      </c>
      <c r="F80" s="492"/>
      <c r="G80" s="492"/>
      <c r="H80" s="494"/>
      <c r="I80" s="495"/>
    </row>
    <row r="81" spans="1:9" x14ac:dyDescent="0.25">
      <c r="A81" s="601" t="s">
        <v>112</v>
      </c>
      <c r="B81" s="601"/>
      <c r="C81" s="492"/>
      <c r="D81" s="492"/>
      <c r="E81" s="493">
        <v>10211401.99</v>
      </c>
      <c r="F81" s="492"/>
      <c r="G81" s="492"/>
      <c r="H81" s="494"/>
      <c r="I81" s="495"/>
    </row>
    <row r="82" spans="1:9" x14ac:dyDescent="0.25">
      <c r="A82" s="604" t="s">
        <v>121</v>
      </c>
      <c r="B82" s="604"/>
      <c r="C82" s="488"/>
      <c r="D82" s="488"/>
      <c r="E82" s="489">
        <v>3513248.66</v>
      </c>
      <c r="F82" s="489">
        <v>3513248.66</v>
      </c>
      <c r="G82" s="488"/>
      <c r="H82" s="490"/>
      <c r="I82" s="491"/>
    </row>
    <row r="83" spans="1:9" x14ac:dyDescent="0.25">
      <c r="A83" s="601" t="s">
        <v>96</v>
      </c>
      <c r="B83" s="601"/>
      <c r="C83" s="492"/>
      <c r="D83" s="492"/>
      <c r="E83" s="492"/>
      <c r="F83" s="493">
        <v>3513248.66</v>
      </c>
      <c r="G83" s="492"/>
      <c r="H83" s="494"/>
      <c r="I83" s="495"/>
    </row>
    <row r="84" spans="1:9" x14ac:dyDescent="0.25">
      <c r="A84" s="601" t="s">
        <v>117</v>
      </c>
      <c r="B84" s="601"/>
      <c r="C84" s="492"/>
      <c r="D84" s="492"/>
      <c r="E84" s="493">
        <v>3513248.66</v>
      </c>
      <c r="F84" s="492"/>
      <c r="G84" s="492"/>
      <c r="H84" s="494"/>
      <c r="I84" s="495"/>
    </row>
    <row r="85" spans="1:9" x14ac:dyDescent="0.25">
      <c r="A85" s="604" t="s">
        <v>122</v>
      </c>
      <c r="B85" s="604"/>
      <c r="C85" s="488"/>
      <c r="D85" s="488"/>
      <c r="E85" s="489">
        <v>3378334.64</v>
      </c>
      <c r="F85" s="489">
        <v>3378334.64</v>
      </c>
      <c r="G85" s="488"/>
      <c r="H85" s="490"/>
      <c r="I85" s="491"/>
    </row>
    <row r="86" spans="1:9" x14ac:dyDescent="0.25">
      <c r="A86" s="601" t="s">
        <v>96</v>
      </c>
      <c r="B86" s="601"/>
      <c r="C86" s="492"/>
      <c r="D86" s="492"/>
      <c r="E86" s="492"/>
      <c r="F86" s="493">
        <v>3378334.64</v>
      </c>
      <c r="G86" s="492"/>
      <c r="H86" s="494"/>
      <c r="I86" s="495"/>
    </row>
    <row r="87" spans="1:9" x14ac:dyDescent="0.25">
      <c r="A87" s="601" t="s">
        <v>123</v>
      </c>
      <c r="B87" s="601"/>
      <c r="C87" s="492"/>
      <c r="D87" s="492"/>
      <c r="E87" s="493">
        <v>3378334.64</v>
      </c>
      <c r="F87" s="492"/>
      <c r="G87" s="492"/>
      <c r="H87" s="494"/>
      <c r="I87" s="495"/>
    </row>
    <row r="88" spans="1:9" x14ac:dyDescent="0.25">
      <c r="A88" s="602" t="s">
        <v>124</v>
      </c>
      <c r="B88" s="602"/>
      <c r="C88" s="497"/>
      <c r="D88" s="498">
        <v>13984005.960000001</v>
      </c>
      <c r="E88" s="498">
        <v>325950977.33999997</v>
      </c>
      <c r="F88" s="498">
        <v>325950977.33999997</v>
      </c>
      <c r="G88" s="497"/>
      <c r="H88" s="603">
        <v>13984005.960000001</v>
      </c>
      <c r="I88" s="603"/>
    </row>
  </sheetData>
  <customSheetViews>
    <customSheetView guid="{4F83E3D9-05C9-45DD-BE29-5010E4EF885C}" state="hidden" topLeftCell="A16">
      <selection activeCell="C9" sqref="C9"/>
      <pageMargins left="0.7" right="0.7" top="0.75" bottom="0.75" header="0.3" footer="0.3"/>
    </customSheetView>
    <customSheetView guid="{E3DB1A70-74DD-44C5-A9A7-0FA1388C0D1F}" state="hidden" topLeftCell="A16">
      <selection activeCell="C9" sqref="C9"/>
      <pageMargins left="0.7" right="0.7" top="0.75" bottom="0.75" header="0.3" footer="0.3"/>
    </customSheetView>
  </customSheetViews>
  <mergeCells count="95">
    <mergeCell ref="A15:B15"/>
    <mergeCell ref="A16:B16"/>
    <mergeCell ref="A17:B17"/>
    <mergeCell ref="A1:H1"/>
    <mergeCell ref="A2:H2"/>
    <mergeCell ref="B4:H4"/>
    <mergeCell ref="B6:H6"/>
    <mergeCell ref="A8:B8"/>
    <mergeCell ref="C8:D8"/>
    <mergeCell ref="E8:F8"/>
    <mergeCell ref="G8:I8"/>
    <mergeCell ref="A14:B14"/>
    <mergeCell ref="A9:B9"/>
    <mergeCell ref="C9:C10"/>
    <mergeCell ref="D9:D10"/>
    <mergeCell ref="E9:E10"/>
    <mergeCell ref="H9:I10"/>
    <mergeCell ref="A10:B10"/>
    <mergeCell ref="A11:B11"/>
    <mergeCell ref="A12:B12"/>
    <mergeCell ref="A13:B13"/>
    <mergeCell ref="F9:F10"/>
    <mergeCell ref="G9:G10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6:B56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68:B68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80:B80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7:B87"/>
    <mergeCell ref="A88:B88"/>
    <mergeCell ref="H88:I88"/>
    <mergeCell ref="A81:B81"/>
    <mergeCell ref="A82:B82"/>
    <mergeCell ref="A83:B83"/>
    <mergeCell ref="A84:B84"/>
    <mergeCell ref="A85:B85"/>
    <mergeCell ref="A86:B8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К ТЕХ ЗАДАНИЮ</vt:lpstr>
      <vt:lpstr>РАСЧЕТ НМЦ</vt:lpstr>
      <vt:lpstr>мама</vt:lpstr>
      <vt:lpstr>объем</vt:lpstr>
      <vt:lpstr>вит</vt:lpstr>
      <vt:lpstr>вит дог</vt:lpstr>
      <vt:lpstr>луг</vt:lpstr>
      <vt:lpstr>луг дог</vt:lpstr>
      <vt:lpstr>осв 20</vt:lpstr>
      <vt:lpstr>вит!Область_печати</vt:lpstr>
      <vt:lpstr>'вит дог'!Область_печати</vt:lpstr>
      <vt:lpstr>луг!Область_печати</vt:lpstr>
      <vt:lpstr>'луг дог'!Область_печати</vt:lpstr>
      <vt:lpstr>мама!Область_печати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Юлия Шекунова</cp:lastModifiedBy>
  <cp:lastPrinted>2023-12-18T05:52:18Z</cp:lastPrinted>
  <dcterms:created xsi:type="dcterms:W3CDTF">2021-05-27T00:18:48Z</dcterms:created>
  <dcterms:modified xsi:type="dcterms:W3CDTF">2023-12-18T05:52:20Z</dcterms:modified>
</cp:coreProperties>
</file>