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ургалиев РГ\АД СМР капремонт гаража литеры Л, Л1, Л2, Л3, Л4 ВУРНАРСКИЙ СХ ТЕХНИКУМ МИНОБРАЗОВАНИЯ ЧУВАШИИ\"/>
    </mc:Choice>
  </mc:AlternateContent>
  <xr:revisionPtr revIDLastSave="0" documentId="13_ncr:1_{D043FD11-9266-4937-B554-6FE13BF9D844}" xr6:coauthVersionLast="45" xr6:coauthVersionMax="45" xr10:uidLastSave="{00000000-0000-0000-0000-000000000000}"/>
  <bookViews>
    <workbookView xWindow="-120" yWindow="-120" windowWidth="29040" windowHeight="15840" tabRatio="500" firstSheet="3" activeTab="11" xr2:uid="{00000000-000D-0000-FFFF-FFFF00000000}"/>
  </bookViews>
  <sheets>
    <sheet name="UnionSheet" sheetId="1" state="hidden" r:id="rId1"/>
    <sheet name="Дефектная ведомость" sheetId="2" state="hidden" r:id="rId2"/>
    <sheet name="Локальная ресурсная ведомо" sheetId="3" state="hidden" r:id="rId3"/>
    <sheet name="02-01-01" sheetId="18" r:id="rId4"/>
    <sheet name="02-01-02" sheetId="24" r:id="rId5"/>
    <sheet name="02-01-03" sheetId="20" r:id="rId6"/>
    <sheet name="02-01-04" sheetId="21" r:id="rId7"/>
    <sheet name="02-01-05" sheetId="22" r:id="rId8"/>
    <sheet name="ОС 3 кв 2020" sheetId="9" r:id="rId9"/>
    <sheet name="ОС 2001" sheetId="10" r:id="rId10"/>
    <sheet name="ССР 2000" sheetId="11" r:id="rId11"/>
    <sheet name="ССР 3 кв20г" sheetId="12" r:id="rId12"/>
    <sheet name="Source" sheetId="13" state="hidden" r:id="rId13"/>
    <sheet name="SourceObSm" sheetId="14" state="hidden" r:id="rId14"/>
    <sheet name="SmtRes" sheetId="15" state="hidden" r:id="rId15"/>
    <sheet name="EtalonRes" sheetId="16" state="hidden" r:id="rId16"/>
  </sheets>
  <definedNames>
    <definedName name="_xlnm.Print_Titles" localSheetId="3">'02-01-01'!$18:$18</definedName>
    <definedName name="_xlnm.Print_Titles" localSheetId="4">'02-01-02'!$21:$21</definedName>
    <definedName name="_xlnm.Print_Titles" localSheetId="5">'02-01-03'!$21:$21</definedName>
    <definedName name="_xlnm.Print_Titles" localSheetId="6">'02-01-04'!$21:$21</definedName>
    <definedName name="_xlnm.Print_Titles" localSheetId="7">'02-01-05'!$22:$22</definedName>
    <definedName name="_xlnm.Print_Titles" localSheetId="1">'Дефектная ведомость'!$18:$18</definedName>
    <definedName name="_xlnm.Print_Titles" localSheetId="2">'Локальная ресурсная ведомо'!$16:$16</definedName>
    <definedName name="_xlnm.Print_Titles" localSheetId="9">'ОС 2001'!$A$16:$IV$16</definedName>
    <definedName name="_xlnm.Print_Area" localSheetId="3">'02-01-01'!$A$1:$K$1081</definedName>
    <definedName name="_xlnm.Print_Area" localSheetId="4">'02-01-02'!$A$1:$K$313</definedName>
    <definedName name="_xlnm.Print_Area" localSheetId="5">'02-01-03'!$A$1:$K$392</definedName>
    <definedName name="_xlnm.Print_Area" localSheetId="6">'02-01-04'!$A$1:$K$205</definedName>
    <definedName name="_xlnm.Print_Area" localSheetId="7">'02-01-05'!$A$1:$K$1010</definedName>
    <definedName name="_xlnm.Print_Area" localSheetId="1">'Дефектная ведомость'!$A$1:$E$44</definedName>
    <definedName name="_xlnm.Print_Area" localSheetId="2">'Локальная ресурсная ведомо'!$A$1:$G$116</definedName>
    <definedName name="_xlnm.Print_Area" localSheetId="9">'ОС 2001'!$A$1:$J$32</definedName>
    <definedName name="_xlnm.Print_Area" localSheetId="8">'ОС 3 кв 2020'!$A$1:$J$42</definedName>
    <definedName name="_xlnm.Print_Area" localSheetId="10">'ССР 2000'!$A$1:$H$57</definedName>
    <definedName name="_xlnm.Print_Area" localSheetId="11">'ССР 3 кв20г'!$A$1:$H$59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2" i="12" l="1"/>
  <c r="I51" i="12"/>
  <c r="I46" i="12"/>
  <c r="I45" i="12"/>
  <c r="I39" i="12"/>
  <c r="H39" i="12" l="1"/>
  <c r="G163" i="24"/>
  <c r="I163" i="24"/>
  <c r="I164" i="24"/>
  <c r="H199" i="24"/>
  <c r="K199" i="24"/>
  <c r="K200" i="24"/>
  <c r="G286" i="24"/>
  <c r="I286" i="24"/>
  <c r="I287" i="24"/>
  <c r="H297" i="24"/>
  <c r="K297" i="24"/>
  <c r="I298" i="24"/>
  <c r="K286" i="24" l="1"/>
  <c r="K287" i="24"/>
  <c r="H286" i="24"/>
  <c r="K163" i="24"/>
  <c r="K164" i="24"/>
  <c r="H163" i="24"/>
  <c r="I297" i="24"/>
  <c r="K298" i="24"/>
  <c r="G297" i="24"/>
  <c r="I200" i="24"/>
  <c r="G199" i="24"/>
  <c r="I199" i="24"/>
  <c r="E8" i="11"/>
  <c r="E8" i="12"/>
  <c r="G33" i="11"/>
  <c r="G33" i="12" l="1"/>
  <c r="H23" i="10"/>
  <c r="H22" i="10"/>
  <c r="H21" i="10"/>
  <c r="H20" i="10"/>
  <c r="H19" i="10"/>
  <c r="G139" i="22"/>
  <c r="H139" i="22"/>
  <c r="I139" i="22"/>
  <c r="K139" i="22"/>
  <c r="I140" i="22"/>
  <c r="K140" i="22"/>
  <c r="G264" i="22"/>
  <c r="H264" i="22"/>
  <c r="I264" i="22"/>
  <c r="K264" i="22"/>
  <c r="I265" i="22"/>
  <c r="K265" i="22"/>
  <c r="G366" i="22"/>
  <c r="H366" i="22"/>
  <c r="I366" i="22"/>
  <c r="K366" i="22"/>
  <c r="I367" i="22"/>
  <c r="K367" i="22"/>
  <c r="G431" i="22"/>
  <c r="H431" i="22"/>
  <c r="I431" i="22"/>
  <c r="K431" i="22"/>
  <c r="I432" i="22"/>
  <c r="K432" i="22"/>
  <c r="I514" i="22"/>
  <c r="G514" i="22"/>
  <c r="I515" i="22"/>
  <c r="H514" i="22"/>
  <c r="K514" i="22"/>
  <c r="K515" i="22"/>
  <c r="G597" i="22"/>
  <c r="H597" i="22"/>
  <c r="I597" i="22"/>
  <c r="K597" i="22"/>
  <c r="I598" i="22"/>
  <c r="K598" i="22"/>
  <c r="G660" i="22"/>
  <c r="H660" i="22"/>
  <c r="I660" i="22"/>
  <c r="K660" i="22"/>
  <c r="I661" i="22"/>
  <c r="K661" i="22"/>
  <c r="G701" i="22"/>
  <c r="H701" i="22"/>
  <c r="I701" i="22"/>
  <c r="K701" i="22"/>
  <c r="I702" i="22"/>
  <c r="K702" i="22"/>
  <c r="G751" i="22"/>
  <c r="H751" i="22"/>
  <c r="I751" i="22"/>
  <c r="K751" i="22"/>
  <c r="I752" i="22"/>
  <c r="K752" i="22"/>
  <c r="G892" i="22"/>
  <c r="H892" i="22"/>
  <c r="I892" i="22"/>
  <c r="K892" i="22"/>
  <c r="I893" i="22"/>
  <c r="K893" i="22"/>
  <c r="H983" i="22"/>
  <c r="G983" i="22"/>
  <c r="I983" i="22"/>
  <c r="K983" i="22"/>
  <c r="I984" i="22"/>
  <c r="K984" i="22"/>
  <c r="G994" i="22"/>
  <c r="H994" i="22"/>
  <c r="I994" i="22"/>
  <c r="K994" i="22"/>
  <c r="I995" i="22"/>
  <c r="K995" i="22"/>
  <c r="G89" i="21" l="1"/>
  <c r="H89" i="21"/>
  <c r="I89" i="21"/>
  <c r="K89" i="21"/>
  <c r="I90" i="21"/>
  <c r="K90" i="21"/>
  <c r="G178" i="21"/>
  <c r="H178" i="21"/>
  <c r="I178" i="21"/>
  <c r="K178" i="21"/>
  <c r="I179" i="21"/>
  <c r="K179" i="21"/>
  <c r="G189" i="21"/>
  <c r="H189" i="21"/>
  <c r="I189" i="21"/>
  <c r="K189" i="21"/>
  <c r="I190" i="21"/>
  <c r="K190" i="21"/>
  <c r="G109" i="20" l="1"/>
  <c r="H109" i="20"/>
  <c r="I109" i="20"/>
  <c r="K109" i="20"/>
  <c r="I110" i="20"/>
  <c r="K110" i="20"/>
  <c r="G220" i="20"/>
  <c r="H220" i="20"/>
  <c r="I220" i="20"/>
  <c r="K220" i="20"/>
  <c r="I221" i="20"/>
  <c r="K221" i="20"/>
  <c r="G365" i="20"/>
  <c r="I366" i="20"/>
  <c r="H365" i="20"/>
  <c r="I365" i="20"/>
  <c r="K365" i="20"/>
  <c r="K366" i="20"/>
  <c r="G376" i="20"/>
  <c r="H376" i="20"/>
  <c r="I376" i="20"/>
  <c r="K376" i="20"/>
  <c r="I377" i="20"/>
  <c r="K377" i="20"/>
  <c r="G120" i="18" l="1"/>
  <c r="H120" i="18"/>
  <c r="I120" i="18"/>
  <c r="K120" i="18"/>
  <c r="I121" i="18"/>
  <c r="K121" i="18"/>
  <c r="G173" i="18"/>
  <c r="H173" i="18"/>
  <c r="I173" i="18"/>
  <c r="K173" i="18"/>
  <c r="I174" i="18"/>
  <c r="K174" i="18"/>
  <c r="G309" i="18"/>
  <c r="I309" i="18"/>
  <c r="I310" i="18"/>
  <c r="H309" i="18"/>
  <c r="K309" i="18"/>
  <c r="K310" i="18"/>
  <c r="G523" i="18"/>
  <c r="H523" i="18"/>
  <c r="I523" i="18"/>
  <c r="K523" i="18"/>
  <c r="I524" i="18"/>
  <c r="K524" i="18"/>
  <c r="G554" i="18"/>
  <c r="H554" i="18"/>
  <c r="I554" i="18"/>
  <c r="K554" i="18"/>
  <c r="I555" i="18"/>
  <c r="K555" i="18"/>
  <c r="G595" i="18"/>
  <c r="H595" i="18"/>
  <c r="I595" i="18"/>
  <c r="K595" i="18"/>
  <c r="I596" i="18"/>
  <c r="K596" i="18"/>
  <c r="G633" i="18"/>
  <c r="H633" i="18"/>
  <c r="I633" i="18"/>
  <c r="K633" i="18"/>
  <c r="I634" i="18"/>
  <c r="K634" i="18"/>
  <c r="G665" i="18"/>
  <c r="H665" i="18"/>
  <c r="I665" i="18"/>
  <c r="K665" i="18"/>
  <c r="I666" i="18"/>
  <c r="K666" i="18"/>
  <c r="G729" i="18"/>
  <c r="H729" i="18"/>
  <c r="I729" i="18"/>
  <c r="K729" i="18"/>
  <c r="I730" i="18"/>
  <c r="K730" i="18"/>
  <c r="G768" i="18"/>
  <c r="H768" i="18"/>
  <c r="I768" i="18"/>
  <c r="K768" i="18"/>
  <c r="I769" i="18"/>
  <c r="K769" i="18"/>
  <c r="G803" i="18"/>
  <c r="H803" i="18"/>
  <c r="I803" i="18"/>
  <c r="K803" i="18"/>
  <c r="I804" i="18"/>
  <c r="K804" i="18"/>
  <c r="G1050" i="18"/>
  <c r="H1050" i="18"/>
  <c r="I1050" i="18"/>
  <c r="K1050" i="18"/>
  <c r="I1051" i="18"/>
  <c r="K1051" i="18"/>
  <c r="G1063" i="18"/>
  <c r="H1063" i="18"/>
  <c r="I1063" i="18"/>
  <c r="K1063" i="18"/>
  <c r="I1064" i="18"/>
  <c r="K1064" i="18"/>
  <c r="A128" i="16" l="1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" i="16"/>
  <c r="DC118" i="15"/>
  <c r="DA118" i="15"/>
  <c r="CZ118" i="15"/>
  <c r="DB118" i="15" s="1"/>
  <c r="CY118" i="15"/>
  <c r="A118" i="15"/>
  <c r="DC117" i="15"/>
  <c r="DA117" i="15"/>
  <c r="CZ117" i="15"/>
  <c r="DB117" i="15" s="1"/>
  <c r="CY117" i="15"/>
  <c r="A117" i="15"/>
  <c r="DC116" i="15"/>
  <c r="DA116" i="15"/>
  <c r="CZ116" i="15"/>
  <c r="DB116" i="15" s="1"/>
  <c r="CY116" i="15"/>
  <c r="A116" i="15"/>
  <c r="DC115" i="15"/>
  <c r="DA115" i="15"/>
  <c r="CZ115" i="15"/>
  <c r="DB115" i="15" s="1"/>
  <c r="CY115" i="15"/>
  <c r="A115" i="15"/>
  <c r="DC114" i="15"/>
  <c r="DA114" i="15"/>
  <c r="CZ114" i="15"/>
  <c r="DB114" i="15" s="1"/>
  <c r="CY114" i="15"/>
  <c r="A114" i="15"/>
  <c r="DC113" i="15"/>
  <c r="DA113" i="15"/>
  <c r="CZ113" i="15"/>
  <c r="DB113" i="15" s="1"/>
  <c r="CY113" i="15"/>
  <c r="A113" i="15"/>
  <c r="DC112" i="15"/>
  <c r="DA112" i="15"/>
  <c r="CZ112" i="15"/>
  <c r="DB112" i="15" s="1"/>
  <c r="CY112" i="15"/>
  <c r="A112" i="15"/>
  <c r="DC111" i="15"/>
  <c r="DA111" i="15"/>
  <c r="CZ111" i="15"/>
  <c r="DB111" i="15" s="1"/>
  <c r="CY111" i="15"/>
  <c r="A111" i="15"/>
  <c r="DC110" i="15"/>
  <c r="DA110" i="15"/>
  <c r="CZ110" i="15"/>
  <c r="DB110" i="15" s="1"/>
  <c r="CY110" i="15"/>
  <c r="A110" i="15"/>
  <c r="DC109" i="15"/>
  <c r="DA109" i="15"/>
  <c r="CZ109" i="15"/>
  <c r="DB109" i="15" s="1"/>
  <c r="CY109" i="15"/>
  <c r="A109" i="15"/>
  <c r="DC108" i="15"/>
  <c r="DA108" i="15"/>
  <c r="CZ108" i="15"/>
  <c r="DB108" i="15" s="1"/>
  <c r="CY108" i="15"/>
  <c r="A108" i="15"/>
  <c r="DC107" i="15"/>
  <c r="DA107" i="15"/>
  <c r="CZ107" i="15"/>
  <c r="DB107" i="15" s="1"/>
  <c r="CY107" i="15"/>
  <c r="A107" i="15"/>
  <c r="DC106" i="15"/>
  <c r="DA106" i="15"/>
  <c r="CZ106" i="15"/>
  <c r="DB106" i="15" s="1"/>
  <c r="CY106" i="15"/>
  <c r="A106" i="15"/>
  <c r="DC105" i="15"/>
  <c r="DA105" i="15"/>
  <c r="CZ105" i="15"/>
  <c r="DB105" i="15" s="1"/>
  <c r="CY105" i="15"/>
  <c r="A105" i="15"/>
  <c r="DC104" i="15"/>
  <c r="DA104" i="15"/>
  <c r="CZ104" i="15"/>
  <c r="DB104" i="15" s="1"/>
  <c r="CY104" i="15"/>
  <c r="A104" i="15"/>
  <c r="DC103" i="15"/>
  <c r="DA103" i="15"/>
  <c r="CZ103" i="15"/>
  <c r="DB103" i="15" s="1"/>
  <c r="CY103" i="15"/>
  <c r="A103" i="15"/>
  <c r="DC102" i="15"/>
  <c r="DA102" i="15"/>
  <c r="CZ102" i="15"/>
  <c r="DB102" i="15" s="1"/>
  <c r="CY102" i="15"/>
  <c r="A102" i="15"/>
  <c r="DC101" i="15"/>
  <c r="DA101" i="15"/>
  <c r="CZ101" i="15"/>
  <c r="DB101" i="15" s="1"/>
  <c r="CY101" i="15"/>
  <c r="A101" i="15"/>
  <c r="DC100" i="15"/>
  <c r="DA100" i="15"/>
  <c r="CZ100" i="15"/>
  <c r="DB100" i="15" s="1"/>
  <c r="CY100" i="15"/>
  <c r="A100" i="15"/>
  <c r="DC99" i="15"/>
  <c r="DA99" i="15"/>
  <c r="CZ99" i="15"/>
  <c r="DB99" i="15" s="1"/>
  <c r="CY99" i="15"/>
  <c r="A99" i="15"/>
  <c r="DC98" i="15"/>
  <c r="DA98" i="15"/>
  <c r="CZ98" i="15"/>
  <c r="DB98" i="15" s="1"/>
  <c r="CY98" i="15"/>
  <c r="A98" i="15"/>
  <c r="DC97" i="15"/>
  <c r="DA97" i="15"/>
  <c r="CZ97" i="15"/>
  <c r="DB97" i="15" s="1"/>
  <c r="CY97" i="15"/>
  <c r="A97" i="15"/>
  <c r="DC96" i="15"/>
  <c r="DA96" i="15"/>
  <c r="CZ96" i="15"/>
  <c r="DB96" i="15" s="1"/>
  <c r="CY96" i="15"/>
  <c r="A96" i="15"/>
  <c r="DC95" i="15"/>
  <c r="DA95" i="15"/>
  <c r="CZ95" i="15"/>
  <c r="DB95" i="15" s="1"/>
  <c r="CY95" i="15"/>
  <c r="A95" i="15"/>
  <c r="DC94" i="15"/>
  <c r="DA94" i="15"/>
  <c r="CZ94" i="15"/>
  <c r="DB94" i="15" s="1"/>
  <c r="CY94" i="15"/>
  <c r="A94" i="15"/>
  <c r="DC93" i="15"/>
  <c r="DA93" i="15"/>
  <c r="CZ93" i="15"/>
  <c r="DB93" i="15" s="1"/>
  <c r="CY93" i="15"/>
  <c r="A93" i="15"/>
  <c r="DC92" i="15"/>
  <c r="DA92" i="15"/>
  <c r="CZ92" i="15"/>
  <c r="DB92" i="15" s="1"/>
  <c r="CY92" i="15"/>
  <c r="A92" i="15"/>
  <c r="DC91" i="15"/>
  <c r="DA91" i="15"/>
  <c r="CZ91" i="15"/>
  <c r="DB91" i="15" s="1"/>
  <c r="CY91" i="15"/>
  <c r="A91" i="15"/>
  <c r="DC90" i="15"/>
  <c r="DA90" i="15"/>
  <c r="CZ90" i="15"/>
  <c r="DB90" i="15" s="1"/>
  <c r="CY90" i="15"/>
  <c r="A90" i="15"/>
  <c r="DC89" i="15"/>
  <c r="DA89" i="15"/>
  <c r="CZ89" i="15"/>
  <c r="DB89" i="15" s="1"/>
  <c r="CY89" i="15"/>
  <c r="A89" i="15"/>
  <c r="DC88" i="15"/>
  <c r="DA88" i="15"/>
  <c r="CZ88" i="15"/>
  <c r="DB88" i="15" s="1"/>
  <c r="CY88" i="15"/>
  <c r="A88" i="15"/>
  <c r="DC87" i="15"/>
  <c r="DA87" i="15"/>
  <c r="CZ87" i="15"/>
  <c r="DB87" i="15" s="1"/>
  <c r="CY87" i="15"/>
  <c r="A87" i="15"/>
  <c r="DC86" i="15"/>
  <c r="DA86" i="15"/>
  <c r="CZ86" i="15"/>
  <c r="DB86" i="15" s="1"/>
  <c r="CY86" i="15"/>
  <c r="A86" i="15"/>
  <c r="DC85" i="15"/>
  <c r="DA85" i="15"/>
  <c r="CZ85" i="15"/>
  <c r="DB85" i="15" s="1"/>
  <c r="CY85" i="15"/>
  <c r="A85" i="15"/>
  <c r="DC84" i="15"/>
  <c r="DA84" i="15"/>
  <c r="CZ84" i="15"/>
  <c r="DB84" i="15" s="1"/>
  <c r="CY84" i="15"/>
  <c r="A84" i="15"/>
  <c r="DC83" i="15"/>
  <c r="DA83" i="15"/>
  <c r="CZ83" i="15"/>
  <c r="DB83" i="15" s="1"/>
  <c r="CY83" i="15"/>
  <c r="A83" i="15"/>
  <c r="DC82" i="15"/>
  <c r="DA82" i="15"/>
  <c r="CZ82" i="15"/>
  <c r="DB82" i="15" s="1"/>
  <c r="CY82" i="15"/>
  <c r="A82" i="15"/>
  <c r="DC81" i="15"/>
  <c r="DA81" i="15"/>
  <c r="CZ81" i="15"/>
  <c r="DB81" i="15" s="1"/>
  <c r="CY81" i="15"/>
  <c r="A81" i="15"/>
  <c r="DC80" i="15"/>
  <c r="DA80" i="15"/>
  <c r="CZ80" i="15"/>
  <c r="DB80" i="15" s="1"/>
  <c r="CY80" i="15"/>
  <c r="A80" i="15"/>
  <c r="DC79" i="15"/>
  <c r="DA79" i="15"/>
  <c r="CZ79" i="15"/>
  <c r="DB79" i="15" s="1"/>
  <c r="CY79" i="15"/>
  <c r="A79" i="15"/>
  <c r="DC78" i="15"/>
  <c r="DA78" i="15"/>
  <c r="CZ78" i="15"/>
  <c r="DB78" i="15" s="1"/>
  <c r="CY78" i="15"/>
  <c r="A78" i="15"/>
  <c r="DC77" i="15"/>
  <c r="DA77" i="15"/>
  <c r="CZ77" i="15"/>
  <c r="DB77" i="15" s="1"/>
  <c r="CY77" i="15"/>
  <c r="A77" i="15"/>
  <c r="DC76" i="15"/>
  <c r="DA76" i="15"/>
  <c r="CZ76" i="15"/>
  <c r="DB76" i="15" s="1"/>
  <c r="CY76" i="15"/>
  <c r="A76" i="15"/>
  <c r="DC75" i="15"/>
  <c r="DA75" i="15"/>
  <c r="CZ75" i="15"/>
  <c r="DB75" i="15" s="1"/>
  <c r="CY75" i="15"/>
  <c r="A75" i="15"/>
  <c r="DC74" i="15"/>
  <c r="DA74" i="15"/>
  <c r="CZ74" i="15"/>
  <c r="DB74" i="15" s="1"/>
  <c r="CY74" i="15"/>
  <c r="A74" i="15"/>
  <c r="DC73" i="15"/>
  <c r="DA73" i="15"/>
  <c r="CZ73" i="15"/>
  <c r="DB73" i="15" s="1"/>
  <c r="CY73" i="15"/>
  <c r="A73" i="15"/>
  <c r="DC72" i="15"/>
  <c r="DA72" i="15"/>
  <c r="CZ72" i="15"/>
  <c r="DB72" i="15" s="1"/>
  <c r="CY72" i="15"/>
  <c r="A72" i="15"/>
  <c r="DC71" i="15"/>
  <c r="DA71" i="15"/>
  <c r="CZ71" i="15"/>
  <c r="DB71" i="15" s="1"/>
  <c r="CY71" i="15"/>
  <c r="A71" i="15"/>
  <c r="DC70" i="15"/>
  <c r="DA70" i="15"/>
  <c r="CZ70" i="15"/>
  <c r="DB70" i="15" s="1"/>
  <c r="CY70" i="15"/>
  <c r="A70" i="15"/>
  <c r="DC69" i="15"/>
  <c r="DA69" i="15"/>
  <c r="CZ69" i="15"/>
  <c r="DB69" i="15" s="1"/>
  <c r="CY69" i="15"/>
  <c r="A69" i="15"/>
  <c r="DC68" i="15"/>
  <c r="DA68" i="15"/>
  <c r="CZ68" i="15"/>
  <c r="DB68" i="15" s="1"/>
  <c r="CY68" i="15"/>
  <c r="A68" i="15"/>
  <c r="DC67" i="15"/>
  <c r="DA67" i="15"/>
  <c r="CZ67" i="15"/>
  <c r="DB67" i="15" s="1"/>
  <c r="CY67" i="15"/>
  <c r="A67" i="15"/>
  <c r="DC66" i="15"/>
  <c r="DA66" i="15"/>
  <c r="CZ66" i="15"/>
  <c r="DB66" i="15" s="1"/>
  <c r="CY66" i="15"/>
  <c r="A66" i="15"/>
  <c r="DC65" i="15"/>
  <c r="DA65" i="15"/>
  <c r="CZ65" i="15"/>
  <c r="DB65" i="15" s="1"/>
  <c r="CY65" i="15"/>
  <c r="A65" i="15"/>
  <c r="DC64" i="15"/>
  <c r="DA64" i="15"/>
  <c r="CZ64" i="15"/>
  <c r="DB64" i="15" s="1"/>
  <c r="CY64" i="15"/>
  <c r="A64" i="15"/>
  <c r="DC63" i="15"/>
  <c r="DA63" i="15"/>
  <c r="CZ63" i="15"/>
  <c r="DB63" i="15" s="1"/>
  <c r="CY63" i="15"/>
  <c r="A63" i="15"/>
  <c r="DC62" i="15"/>
  <c r="DA62" i="15"/>
  <c r="CZ62" i="15"/>
  <c r="DB62" i="15" s="1"/>
  <c r="CY62" i="15"/>
  <c r="A62" i="15"/>
  <c r="DC61" i="15"/>
  <c r="DA61" i="15"/>
  <c r="CZ61" i="15"/>
  <c r="DB61" i="15" s="1"/>
  <c r="CY61" i="15"/>
  <c r="A61" i="15"/>
  <c r="DC60" i="15"/>
  <c r="DA60" i="15"/>
  <c r="CZ60" i="15"/>
  <c r="DB60" i="15" s="1"/>
  <c r="CY60" i="15"/>
  <c r="A60" i="15"/>
  <c r="DC59" i="15"/>
  <c r="DA59" i="15"/>
  <c r="CZ59" i="15"/>
  <c r="DB59" i="15" s="1"/>
  <c r="CY59" i="15"/>
  <c r="A59" i="15"/>
  <c r="DC58" i="15"/>
  <c r="DA58" i="15"/>
  <c r="CZ58" i="15"/>
  <c r="DB58" i="15" s="1"/>
  <c r="CY58" i="15"/>
  <c r="A58" i="15"/>
  <c r="DC57" i="15"/>
  <c r="DA57" i="15"/>
  <c r="CZ57" i="15"/>
  <c r="DB57" i="15" s="1"/>
  <c r="CY57" i="15"/>
  <c r="A57" i="15"/>
  <c r="DC56" i="15"/>
  <c r="DA56" i="15"/>
  <c r="CZ56" i="15"/>
  <c r="DB56" i="15" s="1"/>
  <c r="CY56" i="15"/>
  <c r="A56" i="15"/>
  <c r="DC55" i="15"/>
  <c r="DA55" i="15"/>
  <c r="CZ55" i="15"/>
  <c r="DB55" i="15" s="1"/>
  <c r="CY55" i="15"/>
  <c r="A55" i="15"/>
  <c r="DC54" i="15"/>
  <c r="DA54" i="15"/>
  <c r="CZ54" i="15"/>
  <c r="DB54" i="15" s="1"/>
  <c r="CY54" i="15"/>
  <c r="A54" i="15"/>
  <c r="DC53" i="15"/>
  <c r="DA53" i="15"/>
  <c r="CZ53" i="15"/>
  <c r="DB53" i="15" s="1"/>
  <c r="CY53" i="15"/>
  <c r="A53" i="15"/>
  <c r="DC52" i="15"/>
  <c r="DA52" i="15"/>
  <c r="CZ52" i="15"/>
  <c r="DB52" i="15" s="1"/>
  <c r="CY52" i="15"/>
  <c r="A52" i="15"/>
  <c r="DC51" i="15"/>
  <c r="DA51" i="15"/>
  <c r="CZ51" i="15"/>
  <c r="DB51" i="15" s="1"/>
  <c r="CY51" i="15"/>
  <c r="A51" i="15"/>
  <c r="DC50" i="15"/>
  <c r="DA50" i="15"/>
  <c r="CZ50" i="15"/>
  <c r="DB50" i="15" s="1"/>
  <c r="CY50" i="15"/>
  <c r="A50" i="15"/>
  <c r="DC49" i="15"/>
  <c r="DA49" i="15"/>
  <c r="CZ49" i="15"/>
  <c r="DB49" i="15" s="1"/>
  <c r="CY49" i="15"/>
  <c r="A49" i="15"/>
  <c r="DC48" i="15"/>
  <c r="DA48" i="15"/>
  <c r="CZ48" i="15"/>
  <c r="DB48" i="15" s="1"/>
  <c r="CY48" i="15"/>
  <c r="A48" i="15"/>
  <c r="DC47" i="15"/>
  <c r="DA47" i="15"/>
  <c r="CZ47" i="15"/>
  <c r="DB47" i="15" s="1"/>
  <c r="CY47" i="15"/>
  <c r="A47" i="15"/>
  <c r="DC46" i="15"/>
  <c r="DA46" i="15"/>
  <c r="CZ46" i="15"/>
  <c r="DB46" i="15" s="1"/>
  <c r="CY46" i="15"/>
  <c r="A46" i="15"/>
  <c r="DC45" i="15"/>
  <c r="DA45" i="15"/>
  <c r="CZ45" i="15"/>
  <c r="DB45" i="15" s="1"/>
  <c r="CY45" i="15"/>
  <c r="A45" i="15"/>
  <c r="DC44" i="15"/>
  <c r="DA44" i="15"/>
  <c r="CZ44" i="15"/>
  <c r="DB44" i="15" s="1"/>
  <c r="CY44" i="15"/>
  <c r="A44" i="15"/>
  <c r="DC43" i="15"/>
  <c r="DA43" i="15"/>
  <c r="CZ43" i="15"/>
  <c r="DB43" i="15" s="1"/>
  <c r="CY43" i="15"/>
  <c r="A43" i="15"/>
  <c r="DC42" i="15"/>
  <c r="DA42" i="15"/>
  <c r="CZ42" i="15"/>
  <c r="DB42" i="15" s="1"/>
  <c r="CY42" i="15"/>
  <c r="A42" i="15"/>
  <c r="DC41" i="15"/>
  <c r="DA41" i="15"/>
  <c r="CZ41" i="15"/>
  <c r="DB41" i="15" s="1"/>
  <c r="CY41" i="15"/>
  <c r="A41" i="15"/>
  <c r="DC40" i="15"/>
  <c r="DA40" i="15"/>
  <c r="CZ40" i="15"/>
  <c r="DB40" i="15" s="1"/>
  <c r="CY40" i="15"/>
  <c r="A40" i="15"/>
  <c r="DC39" i="15"/>
  <c r="DA39" i="15"/>
  <c r="CZ39" i="15"/>
  <c r="DB39" i="15" s="1"/>
  <c r="CY39" i="15"/>
  <c r="A39" i="15"/>
  <c r="DC38" i="15"/>
  <c r="DA38" i="15"/>
  <c r="CZ38" i="15"/>
  <c r="DB38" i="15" s="1"/>
  <c r="CY38" i="15"/>
  <c r="A38" i="15"/>
  <c r="DC37" i="15"/>
  <c r="DA37" i="15"/>
  <c r="CZ37" i="15"/>
  <c r="DB37" i="15" s="1"/>
  <c r="CY37" i="15"/>
  <c r="A37" i="15"/>
  <c r="DC36" i="15"/>
  <c r="DA36" i="15"/>
  <c r="CZ36" i="15"/>
  <c r="DB36" i="15" s="1"/>
  <c r="CY36" i="15"/>
  <c r="A36" i="15"/>
  <c r="DC35" i="15"/>
  <c r="DA35" i="15"/>
  <c r="CZ35" i="15"/>
  <c r="DB35" i="15" s="1"/>
  <c r="CY35" i="15"/>
  <c r="A35" i="15"/>
  <c r="DC34" i="15"/>
  <c r="DA34" i="15"/>
  <c r="CZ34" i="15"/>
  <c r="DB34" i="15" s="1"/>
  <c r="CY34" i="15"/>
  <c r="A34" i="15"/>
  <c r="DC33" i="15"/>
  <c r="DA33" i="15"/>
  <c r="CZ33" i="15"/>
  <c r="DB33" i="15" s="1"/>
  <c r="CY33" i="15"/>
  <c r="A33" i="15"/>
  <c r="DC32" i="15"/>
  <c r="DA32" i="15"/>
  <c r="CZ32" i="15"/>
  <c r="DB32" i="15" s="1"/>
  <c r="CY32" i="15"/>
  <c r="A32" i="15"/>
  <c r="DC31" i="15"/>
  <c r="DA31" i="15"/>
  <c r="CZ31" i="15"/>
  <c r="DB31" i="15" s="1"/>
  <c r="CY31" i="15"/>
  <c r="A31" i="15"/>
  <c r="DC30" i="15"/>
  <c r="DA30" i="15"/>
  <c r="CZ30" i="15"/>
  <c r="DB30" i="15" s="1"/>
  <c r="CY30" i="15"/>
  <c r="A30" i="15"/>
  <c r="DC29" i="15"/>
  <c r="DA29" i="15"/>
  <c r="CZ29" i="15"/>
  <c r="DB29" i="15" s="1"/>
  <c r="CY29" i="15"/>
  <c r="A29" i="15"/>
  <c r="DC28" i="15"/>
  <c r="DA28" i="15"/>
  <c r="CZ28" i="15"/>
  <c r="DB28" i="15" s="1"/>
  <c r="CY28" i="15"/>
  <c r="A28" i="15"/>
  <c r="DC27" i="15"/>
  <c r="DA27" i="15"/>
  <c r="CZ27" i="15"/>
  <c r="DB27" i="15" s="1"/>
  <c r="CY27" i="15"/>
  <c r="A27" i="15"/>
  <c r="DC26" i="15"/>
  <c r="DA26" i="15"/>
  <c r="CZ26" i="15"/>
  <c r="DB26" i="15" s="1"/>
  <c r="CY26" i="15"/>
  <c r="A26" i="15"/>
  <c r="DC25" i="15"/>
  <c r="DA25" i="15"/>
  <c r="CZ25" i="15"/>
  <c r="DB25" i="15" s="1"/>
  <c r="CY25" i="15"/>
  <c r="A25" i="15"/>
  <c r="DC24" i="15"/>
  <c r="DA24" i="15"/>
  <c r="CZ24" i="15"/>
  <c r="DB24" i="15" s="1"/>
  <c r="CY24" i="15"/>
  <c r="A24" i="15"/>
  <c r="DC23" i="15"/>
  <c r="DA23" i="15"/>
  <c r="CZ23" i="15"/>
  <c r="DB23" i="15" s="1"/>
  <c r="CY23" i="15"/>
  <c r="A23" i="15"/>
  <c r="DC22" i="15"/>
  <c r="DA22" i="15"/>
  <c r="CZ22" i="15"/>
  <c r="DB22" i="15" s="1"/>
  <c r="CY22" i="15"/>
  <c r="A22" i="15"/>
  <c r="DC21" i="15"/>
  <c r="DA21" i="15"/>
  <c r="CZ21" i="15"/>
  <c r="DB21" i="15" s="1"/>
  <c r="CY21" i="15"/>
  <c r="A21" i="15"/>
  <c r="DC20" i="15"/>
  <c r="DA20" i="15"/>
  <c r="CZ20" i="15"/>
  <c r="DB20" i="15" s="1"/>
  <c r="CY20" i="15"/>
  <c r="A20" i="15"/>
  <c r="DC19" i="15"/>
  <c r="DA19" i="15"/>
  <c r="CZ19" i="15"/>
  <c r="DB19" i="15" s="1"/>
  <c r="CY19" i="15"/>
  <c r="A19" i="15"/>
  <c r="DC18" i="15"/>
  <c r="DA18" i="15"/>
  <c r="CZ18" i="15"/>
  <c r="DB18" i="15" s="1"/>
  <c r="CY18" i="15"/>
  <c r="A18" i="15"/>
  <c r="DC17" i="15"/>
  <c r="DA17" i="15"/>
  <c r="CZ17" i="15"/>
  <c r="DB17" i="15" s="1"/>
  <c r="CY17" i="15"/>
  <c r="A17" i="15"/>
  <c r="DC16" i="15"/>
  <c r="DA16" i="15"/>
  <c r="CZ16" i="15"/>
  <c r="DB16" i="15" s="1"/>
  <c r="CY16" i="15"/>
  <c r="A16" i="15"/>
  <c r="DC15" i="15"/>
  <c r="DA15" i="15"/>
  <c r="CZ15" i="15"/>
  <c r="DB15" i="15" s="1"/>
  <c r="CY15" i="15"/>
  <c r="A15" i="15"/>
  <c r="DC14" i="15"/>
  <c r="DA14" i="15"/>
  <c r="CZ14" i="15"/>
  <c r="DB14" i="15" s="1"/>
  <c r="CY14" i="15"/>
  <c r="A14" i="15"/>
  <c r="DC13" i="15"/>
  <c r="DA13" i="15"/>
  <c r="CZ13" i="15"/>
  <c r="DB13" i="15" s="1"/>
  <c r="CY13" i="15"/>
  <c r="A13" i="15"/>
  <c r="DC12" i="15"/>
  <c r="DA12" i="15"/>
  <c r="CZ12" i="15"/>
  <c r="DB12" i="15" s="1"/>
  <c r="CY12" i="15"/>
  <c r="A12" i="15"/>
  <c r="DC11" i="15"/>
  <c r="DA11" i="15"/>
  <c r="CZ11" i="15"/>
  <c r="DB11" i="15" s="1"/>
  <c r="CY11" i="15"/>
  <c r="A11" i="15"/>
  <c r="DC10" i="15"/>
  <c r="DA10" i="15"/>
  <c r="CZ10" i="15"/>
  <c r="DB10" i="15" s="1"/>
  <c r="CY10" i="15"/>
  <c r="A10" i="15"/>
  <c r="DC9" i="15"/>
  <c r="DA9" i="15"/>
  <c r="CZ9" i="15"/>
  <c r="DB9" i="15" s="1"/>
  <c r="CY9" i="15"/>
  <c r="A9" i="15"/>
  <c r="DC8" i="15"/>
  <c r="DA8" i="15"/>
  <c r="CZ8" i="15"/>
  <c r="DB8" i="15" s="1"/>
  <c r="CY8" i="15"/>
  <c r="A8" i="15"/>
  <c r="DC7" i="15"/>
  <c r="DA7" i="15"/>
  <c r="CZ7" i="15"/>
  <c r="DB7" i="15" s="1"/>
  <c r="CY7" i="15"/>
  <c r="A7" i="15"/>
  <c r="DC6" i="15"/>
  <c r="DA6" i="15"/>
  <c r="CZ6" i="15"/>
  <c r="DB6" i="15" s="1"/>
  <c r="CY6" i="15"/>
  <c r="A6" i="15"/>
  <c r="DC5" i="15"/>
  <c r="DA5" i="15"/>
  <c r="CZ5" i="15"/>
  <c r="DB5" i="15" s="1"/>
  <c r="CY5" i="15"/>
  <c r="A5" i="15"/>
  <c r="DC4" i="15"/>
  <c r="DA4" i="15"/>
  <c r="CZ4" i="15"/>
  <c r="DB4" i="15" s="1"/>
  <c r="CY4" i="15"/>
  <c r="A4" i="15"/>
  <c r="DC3" i="15"/>
  <c r="DA3" i="15"/>
  <c r="CZ3" i="15"/>
  <c r="DB3" i="15" s="1"/>
  <c r="CY3" i="15"/>
  <c r="A3" i="15"/>
  <c r="DC2" i="15"/>
  <c r="DA2" i="15"/>
  <c r="CZ2" i="15"/>
  <c r="DB2" i="15" s="1"/>
  <c r="CY2" i="15"/>
  <c r="A2" i="15"/>
  <c r="DC1" i="15"/>
  <c r="DA1" i="15"/>
  <c r="CZ1" i="15"/>
  <c r="DB1" i="15" s="1"/>
  <c r="CY1" i="15"/>
  <c r="A1" i="15"/>
  <c r="G101" i="13"/>
  <c r="F101" i="13"/>
  <c r="D101" i="13"/>
  <c r="C101" i="13"/>
  <c r="B101" i="13"/>
  <c r="GD65" i="13"/>
  <c r="EU65" i="13" s="1"/>
  <c r="GC65" i="13"/>
  <c r="ET65" i="13" s="1"/>
  <c r="FP65" i="13"/>
  <c r="CL65" i="13"/>
  <c r="BC65" i="13" s="1"/>
  <c r="CK65" i="13"/>
  <c r="BB65" i="13" s="1"/>
  <c r="BX65" i="13"/>
  <c r="AO65" i="13"/>
  <c r="F69" i="13" s="1"/>
  <c r="G65" i="13"/>
  <c r="G22" i="13" s="1"/>
  <c r="F65" i="13"/>
  <c r="D65" i="13"/>
  <c r="C65" i="13"/>
  <c r="C22" i="13" s="1"/>
  <c r="B65" i="13"/>
  <c r="GV63" i="13"/>
  <c r="HC63" i="13" s="1"/>
  <c r="GP63" i="13"/>
  <c r="GO63" i="13"/>
  <c r="GL63" i="13"/>
  <c r="FR63" i="13"/>
  <c r="CV63" i="13"/>
  <c r="AJ63" i="13"/>
  <c r="CX63" i="13" s="1"/>
  <c r="AI63" i="13"/>
  <c r="CW63" i="13" s="1"/>
  <c r="AH63" i="13"/>
  <c r="AG63" i="13"/>
  <c r="CU63" i="13" s="1"/>
  <c r="AF63" i="13"/>
  <c r="CT63" i="13" s="1"/>
  <c r="AE63" i="13"/>
  <c r="CS63" i="13" s="1"/>
  <c r="AD63" i="13"/>
  <c r="CR63" i="13" s="1"/>
  <c r="AC63" i="13"/>
  <c r="CQ63" i="13" s="1"/>
  <c r="D63" i="13"/>
  <c r="C63" i="13"/>
  <c r="GV62" i="13"/>
  <c r="HC62" i="13" s="1"/>
  <c r="GP62" i="13"/>
  <c r="GO62" i="13"/>
  <c r="GL62" i="13"/>
  <c r="FR62" i="13"/>
  <c r="CT62" i="13"/>
  <c r="CR62" i="13"/>
  <c r="AJ62" i="13"/>
  <c r="CX62" i="13" s="1"/>
  <c r="AI62" i="13"/>
  <c r="CW62" i="13" s="1"/>
  <c r="AH62" i="13"/>
  <c r="CV62" i="13" s="1"/>
  <c r="AG62" i="13"/>
  <c r="CU62" i="13" s="1"/>
  <c r="AF62" i="13"/>
  <c r="AE62" i="13"/>
  <c r="CS62" i="13" s="1"/>
  <c r="AD62" i="13"/>
  <c r="AC62" i="13"/>
  <c r="CQ62" i="13" s="1"/>
  <c r="D62" i="13"/>
  <c r="C62" i="13"/>
  <c r="GV61" i="13"/>
  <c r="HC61" i="13" s="1"/>
  <c r="GX61" i="13" s="1"/>
  <c r="GP61" i="13"/>
  <c r="GO61" i="13"/>
  <c r="GL61" i="13"/>
  <c r="FR61" i="13"/>
  <c r="CX61" i="13"/>
  <c r="W61" i="13" s="1"/>
  <c r="CR61" i="13"/>
  <c r="Q61" i="13" s="1"/>
  <c r="AJ61" i="13"/>
  <c r="AI61" i="13"/>
  <c r="CW61" i="13" s="1"/>
  <c r="AH61" i="13"/>
  <c r="CV61" i="13" s="1"/>
  <c r="U61" i="13" s="1"/>
  <c r="AG61" i="13"/>
  <c r="CU61" i="13" s="1"/>
  <c r="AF61" i="13"/>
  <c r="CT61" i="13" s="1"/>
  <c r="S61" i="13" s="1"/>
  <c r="AE61" i="13"/>
  <c r="CS61" i="13" s="1"/>
  <c r="AD61" i="13"/>
  <c r="AC61" i="13"/>
  <c r="CQ61" i="13" s="1"/>
  <c r="P61" i="13" s="1"/>
  <c r="I61" i="13"/>
  <c r="CX116" i="15" s="1"/>
  <c r="D61" i="13"/>
  <c r="C61" i="13"/>
  <c r="GV60" i="13"/>
  <c r="HC60" i="13" s="1"/>
  <c r="GX60" i="13" s="1"/>
  <c r="GP60" i="13"/>
  <c r="GO60" i="13"/>
  <c r="GL60" i="13"/>
  <c r="FR60" i="13"/>
  <c r="CX60" i="13"/>
  <c r="W60" i="13" s="1"/>
  <c r="CR60" i="13"/>
  <c r="Q60" i="13" s="1"/>
  <c r="AJ60" i="13"/>
  <c r="AI60" i="13"/>
  <c r="CW60" i="13" s="1"/>
  <c r="AH60" i="13"/>
  <c r="CV60" i="13" s="1"/>
  <c r="U60" i="13" s="1"/>
  <c r="AG60" i="13"/>
  <c r="CU60" i="13" s="1"/>
  <c r="AF60" i="13"/>
  <c r="CT60" i="13" s="1"/>
  <c r="S60" i="13" s="1"/>
  <c r="AE60" i="13"/>
  <c r="CS60" i="13" s="1"/>
  <c r="AD60" i="13"/>
  <c r="AC60" i="13"/>
  <c r="CQ60" i="13" s="1"/>
  <c r="P60" i="13" s="1"/>
  <c r="I60" i="13"/>
  <c r="CX114" i="15" s="1"/>
  <c r="D60" i="13"/>
  <c r="C60" i="13"/>
  <c r="GV59" i="13"/>
  <c r="HC59" i="13" s="1"/>
  <c r="GX59" i="13" s="1"/>
  <c r="GP59" i="13"/>
  <c r="GO59" i="13"/>
  <c r="GL59" i="13"/>
  <c r="FR59" i="13"/>
  <c r="CW59" i="13"/>
  <c r="V59" i="13" s="1"/>
  <c r="CS59" i="13"/>
  <c r="AJ59" i="13"/>
  <c r="CX59" i="13" s="1"/>
  <c r="W59" i="13" s="1"/>
  <c r="AI59" i="13"/>
  <c r="AH59" i="13"/>
  <c r="CV59" i="13" s="1"/>
  <c r="U59" i="13" s="1"/>
  <c r="AG59" i="13"/>
  <c r="CU59" i="13" s="1"/>
  <c r="T59" i="13" s="1"/>
  <c r="AF59" i="13"/>
  <c r="CT59" i="13" s="1"/>
  <c r="S59" i="13" s="1"/>
  <c r="AE59" i="13"/>
  <c r="AD59" i="13"/>
  <c r="CR59" i="13" s="1"/>
  <c r="Q59" i="13" s="1"/>
  <c r="AC59" i="13"/>
  <c r="CQ59" i="13" s="1"/>
  <c r="P59" i="13" s="1"/>
  <c r="CP59" i="13" s="1"/>
  <c r="O59" i="13" s="1"/>
  <c r="R59" i="13"/>
  <c r="GV58" i="13"/>
  <c r="HC58" i="13" s="1"/>
  <c r="GX58" i="13" s="1"/>
  <c r="GP58" i="13"/>
  <c r="GO58" i="13"/>
  <c r="GL58" i="13"/>
  <c r="FR58" i="13"/>
  <c r="CU58" i="13"/>
  <c r="CS58" i="13"/>
  <c r="R58" i="13" s="1"/>
  <c r="AJ58" i="13"/>
  <c r="CX58" i="13" s="1"/>
  <c r="W58" i="13" s="1"/>
  <c r="AI58" i="13"/>
  <c r="CW58" i="13" s="1"/>
  <c r="V58" i="13" s="1"/>
  <c r="AH58" i="13"/>
  <c r="CV58" i="13" s="1"/>
  <c r="U58" i="13" s="1"/>
  <c r="AG58" i="13"/>
  <c r="AF58" i="13"/>
  <c r="CT58" i="13" s="1"/>
  <c r="S58" i="13" s="1"/>
  <c r="AE58" i="13"/>
  <c r="AD58" i="13"/>
  <c r="CR58" i="13" s="1"/>
  <c r="Q58" i="13" s="1"/>
  <c r="AC58" i="13"/>
  <c r="CQ58" i="13" s="1"/>
  <c r="P58" i="13" s="1"/>
  <c r="CP58" i="13" s="1"/>
  <c r="O58" i="13" s="1"/>
  <c r="T58" i="13"/>
  <c r="GV57" i="13"/>
  <c r="HC57" i="13" s="1"/>
  <c r="GX57" i="13" s="1"/>
  <c r="GP57" i="13"/>
  <c r="GO57" i="13"/>
  <c r="GL57" i="13"/>
  <c r="FR57" i="13"/>
  <c r="CW57" i="13"/>
  <c r="CS57" i="13"/>
  <c r="AJ57" i="13"/>
  <c r="CX57" i="13" s="1"/>
  <c r="W57" i="13" s="1"/>
  <c r="AI57" i="13"/>
  <c r="AH57" i="13"/>
  <c r="CV57" i="13" s="1"/>
  <c r="U57" i="13" s="1"/>
  <c r="AG57" i="13"/>
  <c r="CU57" i="13" s="1"/>
  <c r="AF57" i="13"/>
  <c r="CT57" i="13" s="1"/>
  <c r="S57" i="13" s="1"/>
  <c r="AE57" i="13"/>
  <c r="AD57" i="13"/>
  <c r="CR57" i="13" s="1"/>
  <c r="Q57" i="13" s="1"/>
  <c r="AC57" i="13"/>
  <c r="CQ57" i="13" s="1"/>
  <c r="AB57" i="13"/>
  <c r="I57" i="13"/>
  <c r="D57" i="13"/>
  <c r="C57" i="13"/>
  <c r="GV56" i="13"/>
  <c r="HC56" i="13" s="1"/>
  <c r="GP56" i="13"/>
  <c r="GO56" i="13"/>
  <c r="GL56" i="13"/>
  <c r="FR56" i="13"/>
  <c r="CT56" i="13"/>
  <c r="S56" i="13" s="1"/>
  <c r="AJ56" i="13"/>
  <c r="CX56" i="13" s="1"/>
  <c r="W56" i="13" s="1"/>
  <c r="AI56" i="13"/>
  <c r="CW56" i="13" s="1"/>
  <c r="AH56" i="13"/>
  <c r="CV56" i="13" s="1"/>
  <c r="U56" i="13" s="1"/>
  <c r="AG56" i="13"/>
  <c r="CU56" i="13" s="1"/>
  <c r="AF56" i="13"/>
  <c r="AE56" i="13"/>
  <c r="AC56" i="13"/>
  <c r="I56" i="13"/>
  <c r="CX105" i="15" s="1"/>
  <c r="D56" i="13"/>
  <c r="C56" i="13"/>
  <c r="GV55" i="13"/>
  <c r="HC55" i="13" s="1"/>
  <c r="GP55" i="13"/>
  <c r="GO55" i="13"/>
  <c r="GL55" i="13"/>
  <c r="FR55" i="13"/>
  <c r="CW55" i="13"/>
  <c r="CS55" i="13"/>
  <c r="AJ55" i="13"/>
  <c r="CX55" i="13" s="1"/>
  <c r="AI55" i="13"/>
  <c r="AH55" i="13"/>
  <c r="CV55" i="13" s="1"/>
  <c r="AG55" i="13"/>
  <c r="CU55" i="13" s="1"/>
  <c r="T55" i="13" s="1"/>
  <c r="AF55" i="13"/>
  <c r="CT55" i="13" s="1"/>
  <c r="AE55" i="13"/>
  <c r="AD55" i="13"/>
  <c r="CR55" i="13" s="1"/>
  <c r="AC55" i="13"/>
  <c r="CQ55" i="13" s="1"/>
  <c r="P55" i="13" s="1"/>
  <c r="AB55" i="13"/>
  <c r="I55" i="13"/>
  <c r="D55" i="13"/>
  <c r="C55" i="13"/>
  <c r="GV54" i="13"/>
  <c r="HC54" i="13" s="1"/>
  <c r="GX54" i="13" s="1"/>
  <c r="GP54" i="13"/>
  <c r="GO54" i="13"/>
  <c r="GL54" i="13"/>
  <c r="FR54" i="13"/>
  <c r="CX54" i="13"/>
  <c r="W54" i="13" s="1"/>
  <c r="AJ54" i="13"/>
  <c r="AI54" i="13"/>
  <c r="CW54" i="13" s="1"/>
  <c r="V54" i="13" s="1"/>
  <c r="AH54" i="13"/>
  <c r="CV54" i="13" s="1"/>
  <c r="U54" i="13" s="1"/>
  <c r="AG54" i="13"/>
  <c r="CU54" i="13" s="1"/>
  <c r="T54" i="13" s="1"/>
  <c r="AF54" i="13"/>
  <c r="CT54" i="13" s="1"/>
  <c r="S54" i="13" s="1"/>
  <c r="AE54" i="13"/>
  <c r="AC54" i="13"/>
  <c r="I54" i="13"/>
  <c r="CX96" i="15" s="1"/>
  <c r="D54" i="13"/>
  <c r="C54" i="13"/>
  <c r="GV53" i="13"/>
  <c r="HC53" i="13" s="1"/>
  <c r="GX53" i="13" s="1"/>
  <c r="GP53" i="13"/>
  <c r="GO53" i="13"/>
  <c r="GL53" i="13"/>
  <c r="FR53" i="13"/>
  <c r="CW53" i="13"/>
  <c r="V53" i="13" s="1"/>
  <c r="CS53" i="13"/>
  <c r="AJ53" i="13"/>
  <c r="CX53" i="13" s="1"/>
  <c r="W53" i="13" s="1"/>
  <c r="AI53" i="13"/>
  <c r="AH53" i="13"/>
  <c r="CV53" i="13" s="1"/>
  <c r="U53" i="13" s="1"/>
  <c r="AG53" i="13"/>
  <c r="CU53" i="13" s="1"/>
  <c r="T53" i="13" s="1"/>
  <c r="AF53" i="13"/>
  <c r="CT53" i="13" s="1"/>
  <c r="S53" i="13" s="1"/>
  <c r="CY53" i="13" s="1"/>
  <c r="X53" i="13" s="1"/>
  <c r="AE53" i="13"/>
  <c r="AD53" i="13"/>
  <c r="CR53" i="13" s="1"/>
  <c r="Q53" i="13" s="1"/>
  <c r="AC53" i="13"/>
  <c r="CQ53" i="13" s="1"/>
  <c r="P53" i="13" s="1"/>
  <c r="CP53" i="13" s="1"/>
  <c r="O53" i="13" s="1"/>
  <c r="R53" i="13"/>
  <c r="GV52" i="13"/>
  <c r="HC52" i="13" s="1"/>
  <c r="GX52" i="13" s="1"/>
  <c r="GP52" i="13"/>
  <c r="GO52" i="13"/>
  <c r="GL52" i="13"/>
  <c r="FR52" i="13"/>
  <c r="CW52" i="13"/>
  <c r="V52" i="13" s="1"/>
  <c r="CS52" i="13"/>
  <c r="AJ52" i="13"/>
  <c r="CX52" i="13" s="1"/>
  <c r="W52" i="13" s="1"/>
  <c r="AI52" i="13"/>
  <c r="AH52" i="13"/>
  <c r="CV52" i="13" s="1"/>
  <c r="U52" i="13" s="1"/>
  <c r="AG52" i="13"/>
  <c r="CU52" i="13" s="1"/>
  <c r="T52" i="13" s="1"/>
  <c r="AF52" i="13"/>
  <c r="CT52" i="13" s="1"/>
  <c r="S52" i="13" s="1"/>
  <c r="CY52" i="13" s="1"/>
  <c r="X52" i="13" s="1"/>
  <c r="AE52" i="13"/>
  <c r="AD52" i="13"/>
  <c r="CR52" i="13" s="1"/>
  <c r="Q52" i="13" s="1"/>
  <c r="AC52" i="13"/>
  <c r="CQ52" i="13" s="1"/>
  <c r="P52" i="13" s="1"/>
  <c r="CP52" i="13" s="1"/>
  <c r="O52" i="13" s="1"/>
  <c r="R52" i="13"/>
  <c r="GV51" i="13"/>
  <c r="HC51" i="13" s="1"/>
  <c r="GX51" i="13" s="1"/>
  <c r="GP51" i="13"/>
  <c r="GO51" i="13"/>
  <c r="GL51" i="13"/>
  <c r="FR51" i="13"/>
  <c r="CW51" i="13"/>
  <c r="V51" i="13" s="1"/>
  <c r="CS51" i="13"/>
  <c r="AJ51" i="13"/>
  <c r="CX51" i="13" s="1"/>
  <c r="W51" i="13" s="1"/>
  <c r="AI51" i="13"/>
  <c r="AH51" i="13"/>
  <c r="CV51" i="13" s="1"/>
  <c r="U51" i="13" s="1"/>
  <c r="AG51" i="13"/>
  <c r="CU51" i="13" s="1"/>
  <c r="T51" i="13" s="1"/>
  <c r="AF51" i="13"/>
  <c r="CT51" i="13" s="1"/>
  <c r="S51" i="13" s="1"/>
  <c r="CY51" i="13" s="1"/>
  <c r="X51" i="13" s="1"/>
  <c r="AE51" i="13"/>
  <c r="AD51" i="13"/>
  <c r="CR51" i="13" s="1"/>
  <c r="Q51" i="13" s="1"/>
  <c r="AC51" i="13"/>
  <c r="CQ51" i="13" s="1"/>
  <c r="P51" i="13" s="1"/>
  <c r="CP51" i="13" s="1"/>
  <c r="O51" i="13" s="1"/>
  <c r="R51" i="13"/>
  <c r="GV50" i="13"/>
  <c r="HC50" i="13" s="1"/>
  <c r="GX50" i="13" s="1"/>
  <c r="GP50" i="13"/>
  <c r="GO50" i="13"/>
  <c r="GL50" i="13"/>
  <c r="FR50" i="13"/>
  <c r="CW50" i="13"/>
  <c r="V50" i="13" s="1"/>
  <c r="CS50" i="13"/>
  <c r="AJ50" i="13"/>
  <c r="CX50" i="13" s="1"/>
  <c r="W50" i="13" s="1"/>
  <c r="AI50" i="13"/>
  <c r="AH50" i="13"/>
  <c r="CV50" i="13" s="1"/>
  <c r="U50" i="13" s="1"/>
  <c r="AG50" i="13"/>
  <c r="CU50" i="13" s="1"/>
  <c r="T50" i="13" s="1"/>
  <c r="AF50" i="13"/>
  <c r="CT50" i="13" s="1"/>
  <c r="S50" i="13" s="1"/>
  <c r="CY50" i="13" s="1"/>
  <c r="X50" i="13" s="1"/>
  <c r="AE50" i="13"/>
  <c r="AD50" i="13"/>
  <c r="CR50" i="13" s="1"/>
  <c r="Q50" i="13" s="1"/>
  <c r="AC50" i="13"/>
  <c r="CQ50" i="13" s="1"/>
  <c r="P50" i="13" s="1"/>
  <c r="CP50" i="13" s="1"/>
  <c r="O50" i="13" s="1"/>
  <c r="R50" i="13"/>
  <c r="GV49" i="13"/>
  <c r="HC49" i="13" s="1"/>
  <c r="GX49" i="13" s="1"/>
  <c r="GP49" i="13"/>
  <c r="GO49" i="13"/>
  <c r="GL49" i="13"/>
  <c r="FR49" i="13"/>
  <c r="CU49" i="13"/>
  <c r="T49" i="13" s="1"/>
  <c r="AJ49" i="13"/>
  <c r="CX49" i="13" s="1"/>
  <c r="AI49" i="13"/>
  <c r="CW49" i="13" s="1"/>
  <c r="AH49" i="13"/>
  <c r="CV49" i="13" s="1"/>
  <c r="AG49" i="13"/>
  <c r="AF49" i="13"/>
  <c r="CT49" i="13" s="1"/>
  <c r="AE49" i="13"/>
  <c r="CS49" i="13" s="1"/>
  <c r="AC49" i="13"/>
  <c r="CQ49" i="13" s="1"/>
  <c r="P49" i="13" s="1"/>
  <c r="I49" i="13"/>
  <c r="D49" i="13"/>
  <c r="C49" i="13"/>
  <c r="GV48" i="13"/>
  <c r="HC48" i="13" s="1"/>
  <c r="GX48" i="13" s="1"/>
  <c r="GP48" i="13"/>
  <c r="GO48" i="13"/>
  <c r="GL48" i="13"/>
  <c r="FR48" i="13"/>
  <c r="CV48" i="13"/>
  <c r="U48" i="13" s="1"/>
  <c r="AJ48" i="13"/>
  <c r="CX48" i="13" s="1"/>
  <c r="W48" i="13" s="1"/>
  <c r="AI48" i="13"/>
  <c r="CW48" i="13" s="1"/>
  <c r="V48" i="13" s="1"/>
  <c r="AH48" i="13"/>
  <c r="AG48" i="13"/>
  <c r="CU48" i="13" s="1"/>
  <c r="AF48" i="13"/>
  <c r="CT48" i="13" s="1"/>
  <c r="S48" i="13" s="1"/>
  <c r="AE48" i="13"/>
  <c r="AC48" i="13"/>
  <c r="I48" i="13"/>
  <c r="CX85" i="15" s="1"/>
  <c r="D48" i="13"/>
  <c r="C48" i="13"/>
  <c r="GV47" i="13"/>
  <c r="HC47" i="13" s="1"/>
  <c r="GX47" i="13" s="1"/>
  <c r="GP47" i="13"/>
  <c r="GO47" i="13"/>
  <c r="GL47" i="13"/>
  <c r="FR47" i="13"/>
  <c r="CW47" i="13"/>
  <c r="V47" i="13" s="1"/>
  <c r="AJ47" i="13"/>
  <c r="CX47" i="13" s="1"/>
  <c r="W47" i="13" s="1"/>
  <c r="AI47" i="13"/>
  <c r="AH47" i="13"/>
  <c r="CV47" i="13" s="1"/>
  <c r="U47" i="13" s="1"/>
  <c r="AG47" i="13"/>
  <c r="CU47" i="13" s="1"/>
  <c r="T47" i="13" s="1"/>
  <c r="AF47" i="13"/>
  <c r="CT47" i="13" s="1"/>
  <c r="S47" i="13" s="1"/>
  <c r="AE47" i="13"/>
  <c r="CS47" i="13" s="1"/>
  <c r="R47" i="13" s="1"/>
  <c r="AC47" i="13"/>
  <c r="CQ47" i="13" s="1"/>
  <c r="P47" i="13" s="1"/>
  <c r="GV46" i="13"/>
  <c r="HC46" i="13" s="1"/>
  <c r="GX46" i="13" s="1"/>
  <c r="GP46" i="13"/>
  <c r="GO46" i="13"/>
  <c r="GL46" i="13"/>
  <c r="FR46" i="13"/>
  <c r="CW46" i="13"/>
  <c r="V46" i="13" s="1"/>
  <c r="AJ46" i="13"/>
  <c r="CX46" i="13" s="1"/>
  <c r="W46" i="13" s="1"/>
  <c r="AI46" i="13"/>
  <c r="AH46" i="13"/>
  <c r="CV46" i="13" s="1"/>
  <c r="U46" i="13" s="1"/>
  <c r="AG46" i="13"/>
  <c r="CU46" i="13" s="1"/>
  <c r="T46" i="13" s="1"/>
  <c r="AF46" i="13"/>
  <c r="CT46" i="13" s="1"/>
  <c r="S46" i="13" s="1"/>
  <c r="AE46" i="13"/>
  <c r="CS46" i="13" s="1"/>
  <c r="R46" i="13" s="1"/>
  <c r="AC46" i="13"/>
  <c r="CQ46" i="13" s="1"/>
  <c r="P46" i="13" s="1"/>
  <c r="GV45" i="13"/>
  <c r="HC45" i="13" s="1"/>
  <c r="GP45" i="13"/>
  <c r="GO45" i="13"/>
  <c r="GL45" i="13"/>
  <c r="FR45" i="13"/>
  <c r="CW45" i="13"/>
  <c r="CU45" i="13"/>
  <c r="T45" i="13" s="1"/>
  <c r="AJ45" i="13"/>
  <c r="CX45" i="13" s="1"/>
  <c r="AI45" i="13"/>
  <c r="AH45" i="13"/>
  <c r="CV45" i="13" s="1"/>
  <c r="AG45" i="13"/>
  <c r="AF45" i="13"/>
  <c r="CT45" i="13" s="1"/>
  <c r="AE45" i="13"/>
  <c r="CS45" i="13" s="1"/>
  <c r="AC45" i="13"/>
  <c r="CQ45" i="13" s="1"/>
  <c r="P45" i="13" s="1"/>
  <c r="I45" i="13"/>
  <c r="D45" i="13"/>
  <c r="C45" i="13"/>
  <c r="GX44" i="13"/>
  <c r="GV44" i="13"/>
  <c r="HC44" i="13" s="1"/>
  <c r="GP44" i="13"/>
  <c r="GO44" i="13"/>
  <c r="GL44" i="13"/>
  <c r="FR44" i="13"/>
  <c r="CX44" i="13"/>
  <c r="W44" i="13" s="1"/>
  <c r="CV44" i="13"/>
  <c r="U44" i="13" s="1"/>
  <c r="CT44" i="13"/>
  <c r="S44" i="13" s="1"/>
  <c r="AJ44" i="13"/>
  <c r="AI44" i="13"/>
  <c r="CW44" i="13" s="1"/>
  <c r="V44" i="13" s="1"/>
  <c r="AH44" i="13"/>
  <c r="AG44" i="13"/>
  <c r="CU44" i="13" s="1"/>
  <c r="T44" i="13" s="1"/>
  <c r="AF44" i="13"/>
  <c r="AE44" i="13"/>
  <c r="AC44" i="13"/>
  <c r="I44" i="13"/>
  <c r="CX71" i="15" s="1"/>
  <c r="D44" i="13"/>
  <c r="C44" i="13"/>
  <c r="GV43" i="13"/>
  <c r="HC43" i="13" s="1"/>
  <c r="GX43" i="13" s="1"/>
  <c r="GP43" i="13"/>
  <c r="GO43" i="13"/>
  <c r="GL43" i="13"/>
  <c r="FR43" i="13"/>
  <c r="AJ43" i="13"/>
  <c r="CX43" i="13" s="1"/>
  <c r="AI43" i="13"/>
  <c r="CW43" i="13" s="1"/>
  <c r="V43" i="13" s="1"/>
  <c r="AH43" i="13"/>
  <c r="CV43" i="13" s="1"/>
  <c r="U43" i="13" s="1"/>
  <c r="AG43" i="13"/>
  <c r="CU43" i="13" s="1"/>
  <c r="T43" i="13" s="1"/>
  <c r="AF43" i="13"/>
  <c r="CT43" i="13" s="1"/>
  <c r="AE43" i="13"/>
  <c r="CS43" i="13" s="1"/>
  <c r="R43" i="13" s="1"/>
  <c r="AC43" i="13"/>
  <c r="W43" i="13"/>
  <c r="S43" i="13"/>
  <c r="GV42" i="13"/>
  <c r="HC42" i="13" s="1"/>
  <c r="GX42" i="13" s="1"/>
  <c r="GP42" i="13"/>
  <c r="GO42" i="13"/>
  <c r="GL42" i="13"/>
  <c r="FR42" i="13"/>
  <c r="CX42" i="13"/>
  <c r="W42" i="13" s="1"/>
  <c r="AJ42" i="13"/>
  <c r="AI42" i="13"/>
  <c r="CW42" i="13" s="1"/>
  <c r="V42" i="13" s="1"/>
  <c r="AH42" i="13"/>
  <c r="CV42" i="13" s="1"/>
  <c r="U42" i="13" s="1"/>
  <c r="AG42" i="13"/>
  <c r="CU42" i="13" s="1"/>
  <c r="T42" i="13" s="1"/>
  <c r="AF42" i="13"/>
  <c r="CT42" i="13" s="1"/>
  <c r="S42" i="13" s="1"/>
  <c r="CY42" i="13" s="1"/>
  <c r="X42" i="13" s="1"/>
  <c r="AE42" i="13"/>
  <c r="CS42" i="13" s="1"/>
  <c r="R42" i="13" s="1"/>
  <c r="AC42" i="13"/>
  <c r="CQ42" i="13" s="1"/>
  <c r="P42" i="13" s="1"/>
  <c r="GV41" i="13"/>
  <c r="HC41" i="13" s="1"/>
  <c r="GP41" i="13"/>
  <c r="GO41" i="13"/>
  <c r="GL41" i="13"/>
  <c r="FR41" i="13"/>
  <c r="CX41" i="13"/>
  <c r="CT41" i="13"/>
  <c r="S41" i="13" s="1"/>
  <c r="AJ41" i="13"/>
  <c r="AI41" i="13"/>
  <c r="CW41" i="13" s="1"/>
  <c r="AH41" i="13"/>
  <c r="CV41" i="13" s="1"/>
  <c r="U41" i="13" s="1"/>
  <c r="AG41" i="13"/>
  <c r="CU41" i="13" s="1"/>
  <c r="AF41" i="13"/>
  <c r="AE41" i="13"/>
  <c r="CS41" i="13" s="1"/>
  <c r="AC41" i="13"/>
  <c r="CQ41" i="13" s="1"/>
  <c r="I41" i="13"/>
  <c r="W41" i="13" s="1"/>
  <c r="D41" i="13"/>
  <c r="C41" i="13"/>
  <c r="GV40" i="13"/>
  <c r="HC40" i="13" s="1"/>
  <c r="GP40" i="13"/>
  <c r="GO40" i="13"/>
  <c r="GL40" i="13"/>
  <c r="FR40" i="13"/>
  <c r="CW40" i="13"/>
  <c r="AJ40" i="13"/>
  <c r="CX40" i="13" s="1"/>
  <c r="AI40" i="13"/>
  <c r="AH40" i="13"/>
  <c r="CV40" i="13" s="1"/>
  <c r="AG40" i="13"/>
  <c r="CU40" i="13" s="1"/>
  <c r="AF40" i="13"/>
  <c r="CT40" i="13" s="1"/>
  <c r="S40" i="13" s="1"/>
  <c r="AE40" i="13"/>
  <c r="CS40" i="13" s="1"/>
  <c r="AC40" i="13"/>
  <c r="CQ40" i="13" s="1"/>
  <c r="I40" i="13"/>
  <c r="G65" i="3" s="1"/>
  <c r="D40" i="13"/>
  <c r="C40" i="13"/>
  <c r="GV39" i="13"/>
  <c r="HC39" i="13" s="1"/>
  <c r="GX39" i="13" s="1"/>
  <c r="GP39" i="13"/>
  <c r="GO39" i="13"/>
  <c r="GL39" i="13"/>
  <c r="FR39" i="13"/>
  <c r="CT39" i="13"/>
  <c r="S39" i="13" s="1"/>
  <c r="CY39" i="13" s="1"/>
  <c r="X39" i="13" s="1"/>
  <c r="AJ39" i="13"/>
  <c r="CX39" i="13" s="1"/>
  <c r="W39" i="13" s="1"/>
  <c r="AI39" i="13"/>
  <c r="CW39" i="13" s="1"/>
  <c r="V39" i="13" s="1"/>
  <c r="AH39" i="13"/>
  <c r="CV39" i="13" s="1"/>
  <c r="U39" i="13" s="1"/>
  <c r="AG39" i="13"/>
  <c r="CU39" i="13" s="1"/>
  <c r="T39" i="13" s="1"/>
  <c r="AF39" i="13"/>
  <c r="AE39" i="13"/>
  <c r="CS39" i="13" s="1"/>
  <c r="R39" i="13" s="1"/>
  <c r="AC39" i="13"/>
  <c r="CQ39" i="13" s="1"/>
  <c r="P39" i="13" s="1"/>
  <c r="I39" i="13"/>
  <c r="GV38" i="13"/>
  <c r="HC38" i="13" s="1"/>
  <c r="GP38" i="13"/>
  <c r="GO38" i="13"/>
  <c r="GL38" i="13"/>
  <c r="FR38" i="13"/>
  <c r="CW38" i="13"/>
  <c r="AJ38" i="13"/>
  <c r="CX38" i="13" s="1"/>
  <c r="AI38" i="13"/>
  <c r="AH38" i="13"/>
  <c r="CV38" i="13" s="1"/>
  <c r="AG38" i="13"/>
  <c r="CU38" i="13" s="1"/>
  <c r="AF38" i="13"/>
  <c r="CT38" i="13" s="1"/>
  <c r="S38" i="13" s="1"/>
  <c r="AE38" i="13"/>
  <c r="CS38" i="13" s="1"/>
  <c r="AC38" i="13"/>
  <c r="CQ38" i="13" s="1"/>
  <c r="I38" i="13"/>
  <c r="GV37" i="13"/>
  <c r="HC37" i="13" s="1"/>
  <c r="GP37" i="13"/>
  <c r="GO37" i="13"/>
  <c r="GL37" i="13"/>
  <c r="FR37" i="13"/>
  <c r="CX37" i="13"/>
  <c r="CT37" i="13"/>
  <c r="S37" i="13" s="1"/>
  <c r="AJ37" i="13"/>
  <c r="AI37" i="13"/>
  <c r="CW37" i="13" s="1"/>
  <c r="AH37" i="13"/>
  <c r="CV37" i="13" s="1"/>
  <c r="U37" i="13" s="1"/>
  <c r="AG37" i="13"/>
  <c r="CU37" i="13" s="1"/>
  <c r="AF37" i="13"/>
  <c r="AE37" i="13"/>
  <c r="CS37" i="13" s="1"/>
  <c r="AC37" i="13"/>
  <c r="CQ37" i="13" s="1"/>
  <c r="I37" i="13"/>
  <c r="W37" i="13" s="1"/>
  <c r="GV36" i="13"/>
  <c r="HC36" i="13" s="1"/>
  <c r="GP36" i="13"/>
  <c r="GO36" i="13"/>
  <c r="GL36" i="13"/>
  <c r="FR36" i="13"/>
  <c r="CS36" i="13"/>
  <c r="AJ36" i="13"/>
  <c r="CX36" i="13" s="1"/>
  <c r="AI36" i="13"/>
  <c r="CW36" i="13" s="1"/>
  <c r="AH36" i="13"/>
  <c r="CV36" i="13" s="1"/>
  <c r="AG36" i="13"/>
  <c r="CU36" i="13" s="1"/>
  <c r="AF36" i="13"/>
  <c r="CT36" i="13" s="1"/>
  <c r="AE36" i="13"/>
  <c r="AD36" i="13"/>
  <c r="CR36" i="13" s="1"/>
  <c r="Q36" i="13" s="1"/>
  <c r="AC36" i="13"/>
  <c r="CQ36" i="13" s="1"/>
  <c r="I36" i="13"/>
  <c r="GV35" i="13"/>
  <c r="HC35" i="13" s="1"/>
  <c r="GX35" i="13" s="1"/>
  <c r="GP35" i="13"/>
  <c r="GO35" i="13"/>
  <c r="GL35" i="13"/>
  <c r="FR35" i="13"/>
  <c r="CX35" i="13"/>
  <c r="W35" i="13" s="1"/>
  <c r="AJ35" i="13"/>
  <c r="AI35" i="13"/>
  <c r="CW35" i="13" s="1"/>
  <c r="V35" i="13" s="1"/>
  <c r="AH35" i="13"/>
  <c r="CV35" i="13" s="1"/>
  <c r="U35" i="13" s="1"/>
  <c r="AG35" i="13"/>
  <c r="CU35" i="13" s="1"/>
  <c r="T35" i="13" s="1"/>
  <c r="AF35" i="13"/>
  <c r="CT35" i="13" s="1"/>
  <c r="S35" i="13" s="1"/>
  <c r="CY35" i="13" s="1"/>
  <c r="X35" i="13" s="1"/>
  <c r="AE35" i="13"/>
  <c r="CS35" i="13" s="1"/>
  <c r="R35" i="13" s="1"/>
  <c r="AC35" i="13"/>
  <c r="CQ35" i="13" s="1"/>
  <c r="I35" i="13"/>
  <c r="GV34" i="13"/>
  <c r="HC34" i="13" s="1"/>
  <c r="GX34" i="13" s="1"/>
  <c r="GP34" i="13"/>
  <c r="GO34" i="13"/>
  <c r="GL34" i="13"/>
  <c r="FR34" i="13"/>
  <c r="CU34" i="13"/>
  <c r="AJ34" i="13"/>
  <c r="CX34" i="13" s="1"/>
  <c r="W34" i="13" s="1"/>
  <c r="AI34" i="13"/>
  <c r="CW34" i="13" s="1"/>
  <c r="AH34" i="13"/>
  <c r="CV34" i="13" s="1"/>
  <c r="AG34" i="13"/>
  <c r="AF34" i="13"/>
  <c r="CT34" i="13" s="1"/>
  <c r="AE34" i="13"/>
  <c r="CS34" i="13" s="1"/>
  <c r="AC34" i="13"/>
  <c r="CQ34" i="13" s="1"/>
  <c r="I34" i="13"/>
  <c r="C58" i="3" s="1"/>
  <c r="GV33" i="13"/>
  <c r="HC33" i="13" s="1"/>
  <c r="GP33" i="13"/>
  <c r="GO33" i="13"/>
  <c r="GL33" i="13"/>
  <c r="FR33" i="13"/>
  <c r="CX33" i="13"/>
  <c r="W33" i="13" s="1"/>
  <c r="CV33" i="13"/>
  <c r="U33" i="13" s="1"/>
  <c r="CT33" i="13"/>
  <c r="S33" i="13" s="1"/>
  <c r="CY33" i="13" s="1"/>
  <c r="X33" i="13" s="1"/>
  <c r="AJ33" i="13"/>
  <c r="AI33" i="13"/>
  <c r="CW33" i="13" s="1"/>
  <c r="AH33" i="13"/>
  <c r="AG33" i="13"/>
  <c r="CU33" i="13" s="1"/>
  <c r="T33" i="13" s="1"/>
  <c r="AF33" i="13"/>
  <c r="AE33" i="13"/>
  <c r="CS33" i="13" s="1"/>
  <c r="R33" i="13" s="1"/>
  <c r="AC33" i="13"/>
  <c r="CQ33" i="13" s="1"/>
  <c r="P33" i="13" s="1"/>
  <c r="I33" i="13"/>
  <c r="D33" i="13"/>
  <c r="C33" i="13"/>
  <c r="GV32" i="13"/>
  <c r="HC32" i="13" s="1"/>
  <c r="GX32" i="13" s="1"/>
  <c r="GP32" i="13"/>
  <c r="GO32" i="13"/>
  <c r="GL32" i="13"/>
  <c r="FR32" i="13"/>
  <c r="CU32" i="13"/>
  <c r="AJ32" i="13"/>
  <c r="CX32" i="13" s="1"/>
  <c r="W32" i="13" s="1"/>
  <c r="AI32" i="13"/>
  <c r="CW32" i="13" s="1"/>
  <c r="AH32" i="13"/>
  <c r="CV32" i="13" s="1"/>
  <c r="AG32" i="13"/>
  <c r="AF32" i="13"/>
  <c r="CT32" i="13" s="1"/>
  <c r="AE32" i="13"/>
  <c r="CS32" i="13" s="1"/>
  <c r="AC32" i="13"/>
  <c r="CQ32" i="13" s="1"/>
  <c r="I32" i="13"/>
  <c r="D32" i="13"/>
  <c r="C32" i="13"/>
  <c r="GV31" i="13"/>
  <c r="HC31" i="13" s="1"/>
  <c r="GX31" i="13" s="1"/>
  <c r="GP31" i="13"/>
  <c r="GO31" i="13"/>
  <c r="GL31" i="13"/>
  <c r="FR31" i="13"/>
  <c r="CV31" i="13"/>
  <c r="AJ31" i="13"/>
  <c r="CX31" i="13" s="1"/>
  <c r="W31" i="13" s="1"/>
  <c r="AI31" i="13"/>
  <c r="CW31" i="13" s="1"/>
  <c r="V31" i="13" s="1"/>
  <c r="AH31" i="13"/>
  <c r="AG31" i="13"/>
  <c r="CU31" i="13" s="1"/>
  <c r="T31" i="13" s="1"/>
  <c r="AF31" i="13"/>
  <c r="CT31" i="13" s="1"/>
  <c r="S31" i="13" s="1"/>
  <c r="CY31" i="13" s="1"/>
  <c r="X31" i="13" s="1"/>
  <c r="AE31" i="13"/>
  <c r="CS31" i="13" s="1"/>
  <c r="R31" i="13" s="1"/>
  <c r="AC31" i="13"/>
  <c r="CQ31" i="13" s="1"/>
  <c r="P31" i="13" s="1"/>
  <c r="U31" i="13"/>
  <c r="I31" i="13"/>
  <c r="D31" i="13"/>
  <c r="C31" i="13"/>
  <c r="GV30" i="13"/>
  <c r="HC30" i="13" s="1"/>
  <c r="GX30" i="13" s="1"/>
  <c r="GP30" i="13"/>
  <c r="GO30" i="13"/>
  <c r="GL30" i="13"/>
  <c r="FR30" i="13"/>
  <c r="CS30" i="13"/>
  <c r="AJ30" i="13"/>
  <c r="CX30" i="13" s="1"/>
  <c r="AI30" i="13"/>
  <c r="CW30" i="13" s="1"/>
  <c r="AH30" i="13"/>
  <c r="CV30" i="13" s="1"/>
  <c r="U30" i="13" s="1"/>
  <c r="AG30" i="13"/>
  <c r="CU30" i="13" s="1"/>
  <c r="AF30" i="13"/>
  <c r="CT30" i="13" s="1"/>
  <c r="AE30" i="13"/>
  <c r="AD30" i="13"/>
  <c r="CR30" i="13" s="1"/>
  <c r="Q30" i="13" s="1"/>
  <c r="AC30" i="13"/>
  <c r="CQ30" i="13" s="1"/>
  <c r="I30" i="13"/>
  <c r="G38" i="3" s="1"/>
  <c r="D30" i="13"/>
  <c r="C30" i="13"/>
  <c r="GV29" i="13"/>
  <c r="HC29" i="13" s="1"/>
  <c r="GP29" i="13"/>
  <c r="GO29" i="13"/>
  <c r="GL29" i="13"/>
  <c r="FR29" i="13"/>
  <c r="CX29" i="13"/>
  <c r="CT29" i="13"/>
  <c r="S29" i="13" s="1"/>
  <c r="AJ29" i="13"/>
  <c r="AI29" i="13"/>
  <c r="CW29" i="13" s="1"/>
  <c r="AH29" i="13"/>
  <c r="CV29" i="13" s="1"/>
  <c r="U29" i="13" s="1"/>
  <c r="AG29" i="13"/>
  <c r="CU29" i="13" s="1"/>
  <c r="AF29" i="13"/>
  <c r="AE29" i="13"/>
  <c r="CS29" i="13" s="1"/>
  <c r="AC29" i="13"/>
  <c r="CQ29" i="13" s="1"/>
  <c r="I29" i="13"/>
  <c r="W29" i="13" s="1"/>
  <c r="D29" i="13"/>
  <c r="C29" i="13"/>
  <c r="GV28" i="13"/>
  <c r="HC28" i="13" s="1"/>
  <c r="GP28" i="13"/>
  <c r="GO28" i="13"/>
  <c r="GL28" i="13"/>
  <c r="FR28" i="13"/>
  <c r="CW28" i="13"/>
  <c r="AJ28" i="13"/>
  <c r="CX28" i="13" s="1"/>
  <c r="AI28" i="13"/>
  <c r="AH28" i="13"/>
  <c r="CV28" i="13" s="1"/>
  <c r="AG28" i="13"/>
  <c r="CU28" i="13" s="1"/>
  <c r="AF28" i="13"/>
  <c r="CT28" i="13" s="1"/>
  <c r="S28" i="13" s="1"/>
  <c r="AE28" i="13"/>
  <c r="CS28" i="13" s="1"/>
  <c r="AC28" i="13"/>
  <c r="CQ28" i="13" s="1"/>
  <c r="I28" i="13"/>
  <c r="G35" i="3" s="1"/>
  <c r="D28" i="13"/>
  <c r="C28" i="13"/>
  <c r="GV27" i="13"/>
  <c r="HC27" i="13" s="1"/>
  <c r="GX27" i="13" s="1"/>
  <c r="GP27" i="13"/>
  <c r="GO27" i="13"/>
  <c r="GL27" i="13"/>
  <c r="FR27" i="13"/>
  <c r="CT27" i="13"/>
  <c r="S27" i="13" s="1"/>
  <c r="CY27" i="13" s="1"/>
  <c r="X27" i="13" s="1"/>
  <c r="AJ27" i="13"/>
  <c r="CX27" i="13" s="1"/>
  <c r="W27" i="13" s="1"/>
  <c r="AI27" i="13"/>
  <c r="CW27" i="13" s="1"/>
  <c r="V27" i="13" s="1"/>
  <c r="AH27" i="13"/>
  <c r="CV27" i="13" s="1"/>
  <c r="U27" i="13" s="1"/>
  <c r="AG27" i="13"/>
  <c r="CU27" i="13" s="1"/>
  <c r="T27" i="13" s="1"/>
  <c r="AF27" i="13"/>
  <c r="AE27" i="13"/>
  <c r="CS27" i="13" s="1"/>
  <c r="R27" i="13" s="1"/>
  <c r="AC27" i="13"/>
  <c r="CQ27" i="13" s="1"/>
  <c r="I27" i="13"/>
  <c r="D27" i="13"/>
  <c r="C27" i="13"/>
  <c r="GV26" i="13"/>
  <c r="HC26" i="13" s="1"/>
  <c r="GX26" i="13" s="1"/>
  <c r="GP26" i="13"/>
  <c r="GO26" i="13"/>
  <c r="GL26" i="13"/>
  <c r="FR26" i="13"/>
  <c r="CS26" i="13"/>
  <c r="AJ26" i="13"/>
  <c r="CX26" i="13" s="1"/>
  <c r="AI26" i="13"/>
  <c r="CW26" i="13" s="1"/>
  <c r="AH26" i="13"/>
  <c r="CV26" i="13" s="1"/>
  <c r="U26" i="13" s="1"/>
  <c r="AG26" i="13"/>
  <c r="CU26" i="13" s="1"/>
  <c r="AF26" i="13"/>
  <c r="CT26" i="13" s="1"/>
  <c r="AE26" i="13"/>
  <c r="AD26" i="13"/>
  <c r="CR26" i="13" s="1"/>
  <c r="AC26" i="13"/>
  <c r="AB26" i="13" s="1"/>
  <c r="I26" i="13"/>
  <c r="G25" i="3" s="1"/>
  <c r="D26" i="13"/>
  <c r="C26" i="13"/>
  <c r="GV25" i="13"/>
  <c r="HC25" i="13" s="1"/>
  <c r="GP25" i="13"/>
  <c r="GO25" i="13"/>
  <c r="GL25" i="13"/>
  <c r="FR25" i="13"/>
  <c r="CX25" i="13"/>
  <c r="W25" i="13" s="1"/>
  <c r="CV25" i="13"/>
  <c r="U25" i="13" s="1"/>
  <c r="CT25" i="13"/>
  <c r="AJ25" i="13"/>
  <c r="AI25" i="13"/>
  <c r="CW25" i="13" s="1"/>
  <c r="AH25" i="13"/>
  <c r="AG25" i="13"/>
  <c r="CU25" i="13" s="1"/>
  <c r="T25" i="13" s="1"/>
  <c r="AF25" i="13"/>
  <c r="AE25" i="13"/>
  <c r="CS25" i="13" s="1"/>
  <c r="AC25" i="13"/>
  <c r="CQ25" i="13" s="1"/>
  <c r="P25" i="13" s="1"/>
  <c r="I25" i="13"/>
  <c r="S25" i="13" s="1"/>
  <c r="D25" i="13"/>
  <c r="C25" i="13"/>
  <c r="GV24" i="13"/>
  <c r="HC24" i="13" s="1"/>
  <c r="GX24" i="13" s="1"/>
  <c r="GP24" i="13"/>
  <c r="CD65" i="13" s="1"/>
  <c r="AU65" i="13" s="1"/>
  <c r="AU22" i="13" s="1"/>
  <c r="GO24" i="13"/>
  <c r="GL24" i="13"/>
  <c r="FR24" i="13"/>
  <c r="CW24" i="13"/>
  <c r="CU24" i="13"/>
  <c r="CQ24" i="13"/>
  <c r="AJ24" i="13"/>
  <c r="CX24" i="13" s="1"/>
  <c r="W24" i="13" s="1"/>
  <c r="AI24" i="13"/>
  <c r="AH24" i="13"/>
  <c r="CV24" i="13" s="1"/>
  <c r="AG24" i="13"/>
  <c r="AF24" i="13"/>
  <c r="CT24" i="13" s="1"/>
  <c r="S24" i="13" s="1"/>
  <c r="AE24" i="13"/>
  <c r="CS24" i="13" s="1"/>
  <c r="AC24" i="13"/>
  <c r="I24" i="13"/>
  <c r="G22" i="3" s="1"/>
  <c r="D24" i="13"/>
  <c r="C24" i="13"/>
  <c r="GX22" i="13"/>
  <c r="GW22" i="13"/>
  <c r="GV22" i="13"/>
  <c r="GU22" i="13"/>
  <c r="GT22" i="13"/>
  <c r="GS22" i="13"/>
  <c r="GR22" i="13"/>
  <c r="GQ22" i="13"/>
  <c r="GP22" i="13"/>
  <c r="GO22" i="13"/>
  <c r="GN22" i="13"/>
  <c r="GM22" i="13"/>
  <c r="GL22" i="13"/>
  <c r="GK22" i="13"/>
  <c r="GJ22" i="13"/>
  <c r="GI22" i="13"/>
  <c r="GH22" i="13"/>
  <c r="GG22" i="13"/>
  <c r="GF22" i="13"/>
  <c r="GD22" i="13"/>
  <c r="GC22" i="13"/>
  <c r="FP22" i="13"/>
  <c r="FO22" i="13"/>
  <c r="FN22" i="13"/>
  <c r="FM22" i="13"/>
  <c r="FL22" i="13"/>
  <c r="FK22" i="13"/>
  <c r="FJ22" i="13"/>
  <c r="FI22" i="13"/>
  <c r="FH22" i="13"/>
  <c r="FG22" i="13"/>
  <c r="FF22" i="13"/>
  <c r="FE22" i="13"/>
  <c r="FD22" i="13"/>
  <c r="FC22" i="13"/>
  <c r="FB22" i="13"/>
  <c r="FA22" i="13"/>
  <c r="EZ22" i="13"/>
  <c r="EY22" i="13"/>
  <c r="EX22" i="13"/>
  <c r="EW22" i="13"/>
  <c r="EU22" i="13"/>
  <c r="EF22" i="13"/>
  <c r="EE22" i="13"/>
  <c r="DS22" i="13"/>
  <c r="DR22" i="13"/>
  <c r="DF22" i="13"/>
  <c r="DE22" i="13"/>
  <c r="DD22" i="13"/>
  <c r="DC22" i="13"/>
  <c r="DB22" i="13"/>
  <c r="DA22" i="13"/>
  <c r="CZ22" i="13"/>
  <c r="CY22" i="13"/>
  <c r="CX22" i="13"/>
  <c r="CW22" i="13"/>
  <c r="CV22" i="13"/>
  <c r="CU22" i="13"/>
  <c r="CT22" i="13"/>
  <c r="CS22" i="13"/>
  <c r="CR22" i="13"/>
  <c r="CQ22" i="13"/>
  <c r="CP22" i="13"/>
  <c r="CO22" i="13"/>
  <c r="CN22" i="13"/>
  <c r="CL22" i="13"/>
  <c r="BX22" i="13"/>
  <c r="BW22" i="13"/>
  <c r="BV22" i="13"/>
  <c r="BU22" i="13"/>
  <c r="BT22" i="13"/>
  <c r="BS22" i="13"/>
  <c r="BR22" i="13"/>
  <c r="BQ22" i="13"/>
  <c r="BP22" i="13"/>
  <c r="BO22" i="13"/>
  <c r="BN22" i="13"/>
  <c r="BM22" i="13"/>
  <c r="BL22" i="13"/>
  <c r="BK22" i="13"/>
  <c r="BJ22" i="13"/>
  <c r="BI22" i="13"/>
  <c r="BH22" i="13"/>
  <c r="BG22" i="13"/>
  <c r="BF22" i="13"/>
  <c r="BE22" i="13"/>
  <c r="AO22" i="13"/>
  <c r="AN22" i="13"/>
  <c r="AM22" i="13"/>
  <c r="AA22" i="13"/>
  <c r="Z22" i="13"/>
  <c r="F22" i="13"/>
  <c r="E22" i="13"/>
  <c r="D22" i="13"/>
  <c r="B22" i="13"/>
  <c r="D20" i="13"/>
  <c r="GX18" i="13"/>
  <c r="GW18" i="13"/>
  <c r="GV18" i="13"/>
  <c r="GU18" i="13"/>
  <c r="GT18" i="13"/>
  <c r="GS18" i="13"/>
  <c r="GR18" i="13"/>
  <c r="GQ18" i="13"/>
  <c r="GP18" i="13"/>
  <c r="GO18" i="13"/>
  <c r="GN18" i="13"/>
  <c r="GM18" i="13"/>
  <c r="GL18" i="13"/>
  <c r="GK18" i="13"/>
  <c r="GJ18" i="13"/>
  <c r="GI18" i="13"/>
  <c r="GH18" i="13"/>
  <c r="GG18" i="13"/>
  <c r="GF18" i="13"/>
  <c r="GE18" i="13"/>
  <c r="GD18" i="13"/>
  <c r="GC18" i="13"/>
  <c r="GB18" i="13"/>
  <c r="GA18" i="13"/>
  <c r="FZ18" i="13"/>
  <c r="FY18" i="13"/>
  <c r="FX18" i="13"/>
  <c r="FW18" i="13"/>
  <c r="FV18" i="13"/>
  <c r="FU18" i="13"/>
  <c r="FT18" i="13"/>
  <c r="FS18" i="13"/>
  <c r="FR18" i="13"/>
  <c r="FQ18" i="13"/>
  <c r="FP18" i="13"/>
  <c r="FO18" i="13"/>
  <c r="FN18" i="13"/>
  <c r="FM18" i="13"/>
  <c r="FL18" i="13"/>
  <c r="FK18" i="13"/>
  <c r="FJ18" i="13"/>
  <c r="FI18" i="13"/>
  <c r="FH18" i="13"/>
  <c r="FG18" i="13"/>
  <c r="FF18" i="13"/>
  <c r="FE18" i="13"/>
  <c r="FD18" i="13"/>
  <c r="FC18" i="13"/>
  <c r="FB18" i="13"/>
  <c r="FA18" i="13"/>
  <c r="EZ18" i="13"/>
  <c r="EY18" i="13"/>
  <c r="EX18" i="13"/>
  <c r="EW18" i="13"/>
  <c r="EF18" i="13"/>
  <c r="EE18" i="13"/>
  <c r="ED18" i="13"/>
  <c r="EC18" i="13"/>
  <c r="EB18" i="13"/>
  <c r="EA18" i="13"/>
  <c r="DZ18" i="13"/>
  <c r="DY18" i="13"/>
  <c r="DX18" i="13"/>
  <c r="DW18" i="13"/>
  <c r="DV18" i="13"/>
  <c r="DU18" i="13"/>
  <c r="DT18" i="13"/>
  <c r="DS18" i="13"/>
  <c r="DR18" i="13"/>
  <c r="DF18" i="13"/>
  <c r="DE18" i="13"/>
  <c r="DD18" i="13"/>
  <c r="DC18" i="13"/>
  <c r="DB18" i="13"/>
  <c r="DA18" i="13"/>
  <c r="CZ18" i="13"/>
  <c r="CY18" i="13"/>
  <c r="CX18" i="13"/>
  <c r="CW18" i="13"/>
  <c r="CV18" i="13"/>
  <c r="CU18" i="13"/>
  <c r="CT18" i="13"/>
  <c r="CS18" i="13"/>
  <c r="CR18" i="13"/>
  <c r="CQ18" i="13"/>
  <c r="CP18" i="13"/>
  <c r="CO18" i="13"/>
  <c r="CN18" i="13"/>
  <c r="CM18" i="13"/>
  <c r="CL18" i="13"/>
  <c r="CK18" i="13"/>
  <c r="CJ18" i="13"/>
  <c r="CI18" i="13"/>
  <c r="CH18" i="13"/>
  <c r="CG18" i="13"/>
  <c r="CF18" i="13"/>
  <c r="CE18" i="13"/>
  <c r="CD18" i="13"/>
  <c r="CC18" i="13"/>
  <c r="CB18" i="13"/>
  <c r="CA18" i="13"/>
  <c r="BZ18" i="13"/>
  <c r="BY18" i="13"/>
  <c r="BX18" i="13"/>
  <c r="BW18" i="13"/>
  <c r="BV18" i="13"/>
  <c r="BU18" i="13"/>
  <c r="BT18" i="13"/>
  <c r="BS18" i="13"/>
  <c r="BR18" i="13"/>
  <c r="BQ18" i="13"/>
  <c r="BP18" i="13"/>
  <c r="BO18" i="13"/>
  <c r="BN18" i="13"/>
  <c r="BM18" i="13"/>
  <c r="BL18" i="13"/>
  <c r="BK18" i="13"/>
  <c r="BJ18" i="13"/>
  <c r="BI18" i="13"/>
  <c r="BH18" i="13"/>
  <c r="BG18" i="13"/>
  <c r="BF18" i="13"/>
  <c r="BE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G18" i="13"/>
  <c r="F18" i="13"/>
  <c r="E18" i="13"/>
  <c r="D18" i="13"/>
  <c r="C18" i="13"/>
  <c r="B18" i="13"/>
  <c r="D12" i="13"/>
  <c r="G42" i="12"/>
  <c r="H42" i="12" s="1"/>
  <c r="H41" i="12"/>
  <c r="H33" i="12"/>
  <c r="G34" i="12"/>
  <c r="H31" i="12"/>
  <c r="E31" i="12"/>
  <c r="H29" i="12"/>
  <c r="E27" i="12"/>
  <c r="D27" i="12"/>
  <c r="G42" i="11"/>
  <c r="H42" i="11" s="1"/>
  <c r="H41" i="11"/>
  <c r="H33" i="11"/>
  <c r="E31" i="11"/>
  <c r="H31" i="11" s="1"/>
  <c r="H29" i="11"/>
  <c r="E27" i="11"/>
  <c r="D27" i="11"/>
  <c r="F24" i="10"/>
  <c r="F23" i="11" s="1"/>
  <c r="F24" i="11" s="1"/>
  <c r="E24" i="10"/>
  <c r="E23" i="11" s="1"/>
  <c r="E24" i="11" s="1"/>
  <c r="E39" i="11" s="1"/>
  <c r="D24" i="10"/>
  <c r="D23" i="11" s="1"/>
  <c r="H24" i="10"/>
  <c r="D7" i="10" s="1"/>
  <c r="H31" i="9"/>
  <c r="H30" i="9"/>
  <c r="H29" i="9"/>
  <c r="H28" i="9"/>
  <c r="H27" i="9"/>
  <c r="H26" i="9"/>
  <c r="H25" i="9"/>
  <c r="F24" i="9"/>
  <c r="F33" i="9" s="1"/>
  <c r="E24" i="9"/>
  <c r="D24" i="9"/>
  <c r="H23" i="9"/>
  <c r="H22" i="9"/>
  <c r="H21" i="9"/>
  <c r="H20" i="9"/>
  <c r="H19" i="9"/>
  <c r="F114" i="3"/>
  <c r="C114" i="3"/>
  <c r="F111" i="3"/>
  <c r="C111" i="3"/>
  <c r="F108" i="3"/>
  <c r="E108" i="3"/>
  <c r="D108" i="3"/>
  <c r="C108" i="3"/>
  <c r="B108" i="3"/>
  <c r="D107" i="3"/>
  <c r="C107" i="3"/>
  <c r="A107" i="3"/>
  <c r="G106" i="3"/>
  <c r="F106" i="3"/>
  <c r="E106" i="3"/>
  <c r="D106" i="3"/>
  <c r="C106" i="3"/>
  <c r="B106" i="3"/>
  <c r="G105" i="3"/>
  <c r="F105" i="3"/>
  <c r="E105" i="3"/>
  <c r="D105" i="3"/>
  <c r="C105" i="3"/>
  <c r="B105" i="3"/>
  <c r="C104" i="3"/>
  <c r="D103" i="3"/>
  <c r="C103" i="3"/>
  <c r="A103" i="3"/>
  <c r="G102" i="3"/>
  <c r="D102" i="3"/>
  <c r="C102" i="3"/>
  <c r="A102" i="3"/>
  <c r="G101" i="3"/>
  <c r="F101" i="3"/>
  <c r="E101" i="3"/>
  <c r="D101" i="3"/>
  <c r="C101" i="3"/>
  <c r="B101" i="3"/>
  <c r="G100" i="3"/>
  <c r="F100" i="3"/>
  <c r="E100" i="3"/>
  <c r="D100" i="3"/>
  <c r="C100" i="3"/>
  <c r="B100" i="3"/>
  <c r="G99" i="3"/>
  <c r="F99" i="3"/>
  <c r="E99" i="3"/>
  <c r="D99" i="3"/>
  <c r="C99" i="3"/>
  <c r="B99" i="3"/>
  <c r="G98" i="3"/>
  <c r="F98" i="3"/>
  <c r="E98" i="3"/>
  <c r="D98" i="3"/>
  <c r="C98" i="3"/>
  <c r="B98" i="3"/>
  <c r="G97" i="3"/>
  <c r="F97" i="3"/>
  <c r="E97" i="3"/>
  <c r="D97" i="3"/>
  <c r="C97" i="3"/>
  <c r="B97" i="3"/>
  <c r="G96" i="3"/>
  <c r="F96" i="3"/>
  <c r="E96" i="3"/>
  <c r="D96" i="3"/>
  <c r="C96" i="3"/>
  <c r="B96" i="3"/>
  <c r="C95" i="3"/>
  <c r="G94" i="3"/>
  <c r="D94" i="3"/>
  <c r="A94" i="3"/>
  <c r="G93" i="3"/>
  <c r="F93" i="3"/>
  <c r="E93" i="3"/>
  <c r="D93" i="3"/>
  <c r="C93" i="3"/>
  <c r="B93" i="3"/>
  <c r="G92" i="3"/>
  <c r="F92" i="3"/>
  <c r="E92" i="3"/>
  <c r="D92" i="3"/>
  <c r="C92" i="3"/>
  <c r="B92" i="3"/>
  <c r="G91" i="3"/>
  <c r="F91" i="3"/>
  <c r="E91" i="3"/>
  <c r="D91" i="3"/>
  <c r="C91" i="3"/>
  <c r="B91" i="3"/>
  <c r="C90" i="3"/>
  <c r="G89" i="3"/>
  <c r="D89" i="3"/>
  <c r="A89" i="3"/>
  <c r="G88" i="3"/>
  <c r="D88" i="3"/>
  <c r="C88" i="3"/>
  <c r="A88" i="3"/>
  <c r="G87" i="3"/>
  <c r="D87" i="3"/>
  <c r="C87" i="3"/>
  <c r="A87" i="3"/>
  <c r="G86" i="3"/>
  <c r="F86" i="3"/>
  <c r="E86" i="3"/>
  <c r="D86" i="3"/>
  <c r="C86" i="3"/>
  <c r="B86" i="3"/>
  <c r="F85" i="3"/>
  <c r="E85" i="3"/>
  <c r="D85" i="3"/>
  <c r="C85" i="3"/>
  <c r="B85" i="3"/>
  <c r="G84" i="3"/>
  <c r="F84" i="3"/>
  <c r="E84" i="3"/>
  <c r="D84" i="3"/>
  <c r="C84" i="3"/>
  <c r="B84" i="3"/>
  <c r="F83" i="3"/>
  <c r="E83" i="3"/>
  <c r="D83" i="3"/>
  <c r="C83" i="3"/>
  <c r="B83" i="3"/>
  <c r="G82" i="3"/>
  <c r="F82" i="3"/>
  <c r="E82" i="3"/>
  <c r="D82" i="3"/>
  <c r="C82" i="3"/>
  <c r="B82" i="3"/>
  <c r="G81" i="3"/>
  <c r="F81" i="3"/>
  <c r="E81" i="3"/>
  <c r="D81" i="3"/>
  <c r="C81" i="3"/>
  <c r="B81" i="3"/>
  <c r="G80" i="3"/>
  <c r="F80" i="3"/>
  <c r="E80" i="3"/>
  <c r="D80" i="3"/>
  <c r="C80" i="3"/>
  <c r="B80" i="3"/>
  <c r="F79" i="3"/>
  <c r="E79" i="3"/>
  <c r="D79" i="3"/>
  <c r="C79" i="3"/>
  <c r="B79" i="3"/>
  <c r="C78" i="3"/>
  <c r="G77" i="3"/>
  <c r="D77" i="3"/>
  <c r="A77" i="3"/>
  <c r="G76" i="3"/>
  <c r="D76" i="3"/>
  <c r="C76" i="3"/>
  <c r="A76" i="3"/>
  <c r="G75" i="3"/>
  <c r="F75" i="3"/>
  <c r="E75" i="3"/>
  <c r="D75" i="3"/>
  <c r="C75" i="3"/>
  <c r="B75" i="3"/>
  <c r="G74" i="3"/>
  <c r="F74" i="3"/>
  <c r="E74" i="3"/>
  <c r="D74" i="3"/>
  <c r="C74" i="3"/>
  <c r="B74" i="3"/>
  <c r="G73" i="3"/>
  <c r="F73" i="3"/>
  <c r="E73" i="3"/>
  <c r="D73" i="3"/>
  <c r="C73" i="3"/>
  <c r="B73" i="3"/>
  <c r="G72" i="3"/>
  <c r="F72" i="3"/>
  <c r="E72" i="3"/>
  <c r="D72" i="3"/>
  <c r="C72" i="3"/>
  <c r="B72" i="3"/>
  <c r="G71" i="3"/>
  <c r="F71" i="3"/>
  <c r="E71" i="3"/>
  <c r="D71" i="3"/>
  <c r="C71" i="3"/>
  <c r="B71" i="3"/>
  <c r="C70" i="3"/>
  <c r="G69" i="3"/>
  <c r="D69" i="3"/>
  <c r="A69" i="3"/>
  <c r="G68" i="3"/>
  <c r="D68" i="3"/>
  <c r="C68" i="3"/>
  <c r="A68" i="3"/>
  <c r="F67" i="3"/>
  <c r="E67" i="3"/>
  <c r="D67" i="3"/>
  <c r="C67" i="3"/>
  <c r="B67" i="3"/>
  <c r="G66" i="3"/>
  <c r="F66" i="3"/>
  <c r="E66" i="3"/>
  <c r="D66" i="3"/>
  <c r="C66" i="3"/>
  <c r="B66" i="3"/>
  <c r="F65" i="3"/>
  <c r="E65" i="3"/>
  <c r="D65" i="3"/>
  <c r="C65" i="3"/>
  <c r="B65" i="3"/>
  <c r="C64" i="3"/>
  <c r="G63" i="3"/>
  <c r="D63" i="3"/>
  <c r="A63" i="3"/>
  <c r="C62" i="3"/>
  <c r="G61" i="3"/>
  <c r="D61" i="3"/>
  <c r="C61" i="3"/>
  <c r="A61" i="3"/>
  <c r="C60" i="3"/>
  <c r="D59" i="3"/>
  <c r="C59" i="3"/>
  <c r="A59" i="3"/>
  <c r="G57" i="3"/>
  <c r="D57" i="3"/>
  <c r="C57" i="3"/>
  <c r="A57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G50" i="3"/>
  <c r="F50" i="3"/>
  <c r="E50" i="3"/>
  <c r="D50" i="3"/>
  <c r="C50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  <c r="G46" i="3"/>
  <c r="F46" i="3"/>
  <c r="E46" i="3"/>
  <c r="D46" i="3"/>
  <c r="C46" i="3"/>
  <c r="B46" i="3"/>
  <c r="G45" i="3"/>
  <c r="F45" i="3"/>
  <c r="E45" i="3"/>
  <c r="D45" i="3"/>
  <c r="C45" i="3"/>
  <c r="B45" i="3"/>
  <c r="C44" i="3"/>
  <c r="G43" i="3"/>
  <c r="D43" i="3"/>
  <c r="A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C39" i="3"/>
  <c r="D38" i="3"/>
  <c r="C38" i="3"/>
  <c r="A38" i="3"/>
  <c r="F37" i="3"/>
  <c r="E37" i="3"/>
  <c r="D37" i="3"/>
  <c r="C37" i="3"/>
  <c r="B37" i="3"/>
  <c r="G36" i="3"/>
  <c r="F36" i="3"/>
  <c r="E36" i="3"/>
  <c r="D36" i="3"/>
  <c r="C36" i="3"/>
  <c r="B36" i="3"/>
  <c r="F35" i="3"/>
  <c r="E35" i="3"/>
  <c r="D35" i="3"/>
  <c r="C35" i="3"/>
  <c r="B35" i="3"/>
  <c r="G34" i="3"/>
  <c r="F34" i="3"/>
  <c r="E34" i="3"/>
  <c r="D34" i="3"/>
  <c r="C34" i="3"/>
  <c r="B34" i="3"/>
  <c r="F33" i="3"/>
  <c r="E33" i="3"/>
  <c r="D33" i="3"/>
  <c r="C33" i="3"/>
  <c r="B33" i="3"/>
  <c r="C32" i="3"/>
  <c r="G31" i="3"/>
  <c r="D31" i="3"/>
  <c r="C31" i="3"/>
  <c r="A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C26" i="3"/>
  <c r="D25" i="3"/>
  <c r="C25" i="3"/>
  <c r="A25" i="3"/>
  <c r="F24" i="3"/>
  <c r="E24" i="3"/>
  <c r="D24" i="3"/>
  <c r="C24" i="3"/>
  <c r="B24" i="3"/>
  <c r="G23" i="3"/>
  <c r="F23" i="3"/>
  <c r="E23" i="3"/>
  <c r="D23" i="3"/>
  <c r="C23" i="3"/>
  <c r="B23" i="3"/>
  <c r="F22" i="3"/>
  <c r="E22" i="3"/>
  <c r="D22" i="3"/>
  <c r="C22" i="3"/>
  <c r="B22" i="3"/>
  <c r="G21" i="3"/>
  <c r="F21" i="3"/>
  <c r="E21" i="3"/>
  <c r="D21" i="3"/>
  <c r="C21" i="3"/>
  <c r="B21" i="3"/>
  <c r="F20" i="3"/>
  <c r="E20" i="3"/>
  <c r="D20" i="3"/>
  <c r="C20" i="3"/>
  <c r="B20" i="3"/>
  <c r="G19" i="3"/>
  <c r="F19" i="3"/>
  <c r="E19" i="3"/>
  <c r="D19" i="3"/>
  <c r="C19" i="3"/>
  <c r="B19" i="3"/>
  <c r="G17" i="3"/>
  <c r="D17" i="3"/>
  <c r="C17" i="3"/>
  <c r="A17" i="3"/>
  <c r="C11" i="3"/>
  <c r="A8" i="3"/>
  <c r="A6" i="3"/>
  <c r="A3" i="3"/>
  <c r="A1" i="3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A19" i="2"/>
  <c r="A12" i="2"/>
  <c r="A11" i="2"/>
  <c r="A1" i="2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  <c r="J1" i="1"/>
  <c r="I1" i="1"/>
  <c r="BB101" i="13" l="1"/>
  <c r="BB22" i="13"/>
  <c r="F78" i="13"/>
  <c r="BC101" i="13"/>
  <c r="BC22" i="13"/>
  <c r="CY47" i="13"/>
  <c r="X47" i="13" s="1"/>
  <c r="P78" i="13"/>
  <c r="ET22" i="13"/>
  <c r="ET101" i="13"/>
  <c r="CY46" i="13"/>
  <c r="X46" i="13" s="1"/>
  <c r="CD22" i="13"/>
  <c r="FR65" i="13"/>
  <c r="EI65" i="13" s="1"/>
  <c r="EI22" i="13" s="1"/>
  <c r="CQ26" i="13"/>
  <c r="V38" i="13"/>
  <c r="CK22" i="13"/>
  <c r="FU65" i="13"/>
  <c r="Q26" i="13"/>
  <c r="W28" i="13"/>
  <c r="P29" i="13"/>
  <c r="S32" i="13"/>
  <c r="S34" i="13"/>
  <c r="U36" i="13"/>
  <c r="P37" i="13"/>
  <c r="AB38" i="13"/>
  <c r="W38" i="13"/>
  <c r="W40" i="13"/>
  <c r="P41" i="13"/>
  <c r="GX55" i="13"/>
  <c r="T56" i="13"/>
  <c r="T60" i="13"/>
  <c r="T61" i="13"/>
  <c r="BY65" i="13"/>
  <c r="BY22" i="13" s="1"/>
  <c r="V25" i="13"/>
  <c r="FV65" i="13"/>
  <c r="EM65" i="13" s="1"/>
  <c r="EM22" i="13" s="1"/>
  <c r="GX28" i="13"/>
  <c r="R29" i="13"/>
  <c r="CY29" i="13" s="1"/>
  <c r="X29" i="13" s="1"/>
  <c r="V33" i="13"/>
  <c r="V36" i="13"/>
  <c r="R37" i="13"/>
  <c r="CY37" i="13" s="1"/>
  <c r="X37" i="13" s="1"/>
  <c r="GX38" i="13"/>
  <c r="GX40" i="13"/>
  <c r="R41" i="13"/>
  <c r="CY41" i="13" s="1"/>
  <c r="X41" i="13" s="1"/>
  <c r="G20" i="3"/>
  <c r="G24" i="3"/>
  <c r="G33" i="3"/>
  <c r="G37" i="3"/>
  <c r="G67" i="3"/>
  <c r="G85" i="3"/>
  <c r="U24" i="13"/>
  <c r="BZ65" i="13"/>
  <c r="GX25" i="13"/>
  <c r="S26" i="13"/>
  <c r="AD28" i="13"/>
  <c r="AB30" i="13"/>
  <c r="W30" i="13"/>
  <c r="U32" i="13"/>
  <c r="GX33" i="13"/>
  <c r="U34" i="13"/>
  <c r="P35" i="13"/>
  <c r="AB36" i="13"/>
  <c r="W36" i="13"/>
  <c r="AD38" i="13"/>
  <c r="CR38" i="13" s="1"/>
  <c r="Q38" i="13" s="1"/>
  <c r="AD40" i="13"/>
  <c r="CR40" i="13" s="1"/>
  <c r="Q40" i="13" s="1"/>
  <c r="GX45" i="13"/>
  <c r="AD46" i="13"/>
  <c r="CR46" i="13" s="1"/>
  <c r="Q46" i="13" s="1"/>
  <c r="CP46" i="13" s="1"/>
  <c r="O46" i="13" s="1"/>
  <c r="GM46" i="13" s="1"/>
  <c r="AD47" i="13"/>
  <c r="CR47" i="13" s="1"/>
  <c r="Q47" i="13" s="1"/>
  <c r="CP47" i="13" s="1"/>
  <c r="O47" i="13" s="1"/>
  <c r="GM47" i="13" s="1"/>
  <c r="T48" i="13"/>
  <c r="V56" i="13"/>
  <c r="V60" i="13"/>
  <c r="V61" i="13"/>
  <c r="H27" i="12"/>
  <c r="CC65" i="13"/>
  <c r="T29" i="13"/>
  <c r="V34" i="13"/>
  <c r="GX36" i="13"/>
  <c r="T37" i="13"/>
  <c r="T41" i="13"/>
  <c r="AD45" i="13"/>
  <c r="AB50" i="13"/>
  <c r="AB51" i="13"/>
  <c r="AB52" i="13"/>
  <c r="AB53" i="13"/>
  <c r="GX56" i="13"/>
  <c r="AB59" i="13"/>
  <c r="CP60" i="13"/>
  <c r="O60" i="13" s="1"/>
  <c r="CP61" i="13"/>
  <c r="O61" i="13" s="1"/>
  <c r="R25" i="13"/>
  <c r="CY25" i="13" s="1"/>
  <c r="X25" i="13" s="1"/>
  <c r="V29" i="13"/>
  <c r="V37" i="13"/>
  <c r="V41" i="13"/>
  <c r="AB58" i="13"/>
  <c r="C18" i="3"/>
  <c r="G59" i="3"/>
  <c r="G79" i="3"/>
  <c r="G83" i="3"/>
  <c r="G103" i="3"/>
  <c r="AD24" i="13"/>
  <c r="FQ65" i="13"/>
  <c r="FQ22" i="13" s="1"/>
  <c r="W26" i="13"/>
  <c r="P27" i="13"/>
  <c r="U28" i="13"/>
  <c r="GX29" i="13"/>
  <c r="S30" i="13"/>
  <c r="AD32" i="13"/>
  <c r="AD34" i="13"/>
  <c r="S36" i="13"/>
  <c r="GX37" i="13"/>
  <c r="U38" i="13"/>
  <c r="U40" i="13"/>
  <c r="GX41" i="13"/>
  <c r="AD49" i="13"/>
  <c r="R60" i="13"/>
  <c r="CZ60" i="13" s="1"/>
  <c r="Y60" i="13" s="1"/>
  <c r="R61" i="13"/>
  <c r="E32" i="9"/>
  <c r="E34" i="9" s="1"/>
  <c r="E23" i="12" s="1"/>
  <c r="E24" i="12" s="1"/>
  <c r="H24" i="9"/>
  <c r="D32" i="9"/>
  <c r="D34" i="9" s="1"/>
  <c r="D23" i="12" s="1"/>
  <c r="F34" i="9"/>
  <c r="F23" i="12" s="1"/>
  <c r="F24" i="12" s="1"/>
  <c r="H33" i="9"/>
  <c r="F39" i="11"/>
  <c r="F35" i="11"/>
  <c r="G35" i="12"/>
  <c r="H34" i="12"/>
  <c r="E35" i="11"/>
  <c r="E46" i="11"/>
  <c r="E45" i="11"/>
  <c r="E43" i="11"/>
  <c r="H23" i="11"/>
  <c r="H24" i="11" s="1"/>
  <c r="CX6" i="15"/>
  <c r="CX4" i="15"/>
  <c r="CX2" i="15"/>
  <c r="CX5" i="15"/>
  <c r="CX3" i="15"/>
  <c r="CX1" i="15"/>
  <c r="EI101" i="13"/>
  <c r="P75" i="13"/>
  <c r="EM101" i="13"/>
  <c r="P84" i="13"/>
  <c r="CX16" i="15"/>
  <c r="CX14" i="15"/>
  <c r="CX15" i="15"/>
  <c r="CX13" i="15"/>
  <c r="CX24" i="15"/>
  <c r="CX22" i="15"/>
  <c r="CX25" i="15"/>
  <c r="CX23" i="15"/>
  <c r="CX21" i="15"/>
  <c r="CX32" i="15"/>
  <c r="CX33" i="15"/>
  <c r="CX31" i="15"/>
  <c r="CX48" i="15"/>
  <c r="CX46" i="15"/>
  <c r="CX44" i="15"/>
  <c r="CX42" i="15"/>
  <c r="CX40" i="15"/>
  <c r="CX38" i="15"/>
  <c r="CX47" i="15"/>
  <c r="CX45" i="15"/>
  <c r="CX43" i="15"/>
  <c r="CX41" i="15"/>
  <c r="CX39" i="15"/>
  <c r="CX37" i="15"/>
  <c r="CX62" i="15"/>
  <c r="CX63" i="15"/>
  <c r="CX61" i="15"/>
  <c r="CS44" i="13"/>
  <c r="R44" i="13" s="1"/>
  <c r="CY44" i="13" s="1"/>
  <c r="X44" i="13" s="1"/>
  <c r="AD44" i="13"/>
  <c r="CR44" i="13" s="1"/>
  <c r="Q44" i="13" s="1"/>
  <c r="CS48" i="13"/>
  <c r="R48" i="13" s="1"/>
  <c r="CY48" i="13" s="1"/>
  <c r="X48" i="13" s="1"/>
  <c r="AD48" i="13"/>
  <c r="CR48" i="13" s="1"/>
  <c r="Q48" i="13" s="1"/>
  <c r="CS54" i="13"/>
  <c r="R54" i="13" s="1"/>
  <c r="CY54" i="13" s="1"/>
  <c r="X54" i="13" s="1"/>
  <c r="AD54" i="13"/>
  <c r="CR54" i="13" s="1"/>
  <c r="Q54" i="13" s="1"/>
  <c r="CS56" i="13"/>
  <c r="R56" i="13" s="1"/>
  <c r="CY56" i="13" s="1"/>
  <c r="X56" i="13" s="1"/>
  <c r="AD56" i="13"/>
  <c r="CR56" i="13" s="1"/>
  <c r="Q56" i="13" s="1"/>
  <c r="D24" i="11"/>
  <c r="D39" i="11" s="1"/>
  <c r="H27" i="11"/>
  <c r="G34" i="11"/>
  <c r="P24" i="13"/>
  <c r="R24" i="13"/>
  <c r="CY24" i="13" s="1"/>
  <c r="X24" i="13" s="1"/>
  <c r="T24" i="13"/>
  <c r="V24" i="13"/>
  <c r="CZ25" i="13"/>
  <c r="Y25" i="13" s="1"/>
  <c r="P26" i="13"/>
  <c r="CP26" i="13" s="1"/>
  <c r="O26" i="13" s="1"/>
  <c r="R26" i="13"/>
  <c r="CZ26" i="13" s="1"/>
  <c r="Y26" i="13" s="1"/>
  <c r="T26" i="13"/>
  <c r="V26" i="13"/>
  <c r="CZ27" i="13"/>
  <c r="Y27" i="13" s="1"/>
  <c r="P28" i="13"/>
  <c r="R28" i="13"/>
  <c r="CZ28" i="13" s="1"/>
  <c r="Y28" i="13" s="1"/>
  <c r="T28" i="13"/>
  <c r="V28" i="13"/>
  <c r="CZ29" i="13"/>
  <c r="Y29" i="13" s="1"/>
  <c r="P30" i="13"/>
  <c r="R30" i="13"/>
  <c r="T30" i="13"/>
  <c r="V30" i="13"/>
  <c r="CZ31" i="13"/>
  <c r="Y31" i="13" s="1"/>
  <c r="P32" i="13"/>
  <c r="R32" i="13"/>
  <c r="CZ32" i="13" s="1"/>
  <c r="Y32" i="13" s="1"/>
  <c r="T32" i="13"/>
  <c r="V32" i="13"/>
  <c r="CZ33" i="13"/>
  <c r="Y33" i="13" s="1"/>
  <c r="P34" i="13"/>
  <c r="R34" i="13"/>
  <c r="CZ34" i="13" s="1"/>
  <c r="Y34" i="13" s="1"/>
  <c r="T34" i="13"/>
  <c r="CZ35" i="13"/>
  <c r="Y35" i="13" s="1"/>
  <c r="P36" i="13"/>
  <c r="CP36" i="13" s="1"/>
  <c r="O36" i="13" s="1"/>
  <c r="R36" i="13"/>
  <c r="CZ36" i="13" s="1"/>
  <c r="Y36" i="13" s="1"/>
  <c r="T36" i="13"/>
  <c r="P38" i="13"/>
  <c r="CP38" i="13" s="1"/>
  <c r="O38" i="13" s="1"/>
  <c r="R38" i="13"/>
  <c r="CZ38" i="13" s="1"/>
  <c r="Y38" i="13" s="1"/>
  <c r="T38" i="13"/>
  <c r="CZ39" i="13"/>
  <c r="Y39" i="13" s="1"/>
  <c r="P40" i="13"/>
  <c r="R40" i="13"/>
  <c r="CZ40" i="13" s="1"/>
  <c r="Y40" i="13" s="1"/>
  <c r="T40" i="13"/>
  <c r="V40" i="13"/>
  <c r="CZ41" i="13"/>
  <c r="Y41" i="13" s="1"/>
  <c r="CZ42" i="13"/>
  <c r="Y42" i="13" s="1"/>
  <c r="CZ43" i="13"/>
  <c r="Y43" i="13" s="1"/>
  <c r="CQ43" i="13"/>
  <c r="P43" i="13" s="1"/>
  <c r="CY43" i="13"/>
  <c r="X43" i="13" s="1"/>
  <c r="AU101" i="13"/>
  <c r="F84" i="13"/>
  <c r="CX12" i="15"/>
  <c r="CX10" i="15"/>
  <c r="CX8" i="15"/>
  <c r="CX11" i="15"/>
  <c r="CX9" i="15"/>
  <c r="CX7" i="15"/>
  <c r="GA65" i="13"/>
  <c r="EH65" i="13"/>
  <c r="CX20" i="15"/>
  <c r="CX18" i="15"/>
  <c r="CX19" i="15"/>
  <c r="CX17" i="15"/>
  <c r="CX30" i="15"/>
  <c r="CX28" i="15"/>
  <c r="CX26" i="15"/>
  <c r="CX29" i="15"/>
  <c r="CX27" i="15"/>
  <c r="CX36" i="15"/>
  <c r="CX34" i="15"/>
  <c r="CX35" i="15"/>
  <c r="CX60" i="15"/>
  <c r="CX58" i="15"/>
  <c r="CX56" i="15"/>
  <c r="CX54" i="15"/>
  <c r="CX52" i="15"/>
  <c r="CX50" i="15"/>
  <c r="CX59" i="15"/>
  <c r="CX57" i="15"/>
  <c r="CX55" i="15"/>
  <c r="CX53" i="15"/>
  <c r="CX51" i="15"/>
  <c r="CX49" i="15"/>
  <c r="CX66" i="15"/>
  <c r="CX64" i="15"/>
  <c r="CX65" i="15"/>
  <c r="CQ44" i="13"/>
  <c r="P44" i="13" s="1"/>
  <c r="CX78" i="15"/>
  <c r="CX76" i="15"/>
  <c r="CX74" i="15"/>
  <c r="CX77" i="15"/>
  <c r="CX75" i="15"/>
  <c r="CX73" i="15"/>
  <c r="CQ48" i="13"/>
  <c r="P48" i="13" s="1"/>
  <c r="CP48" i="13" s="1"/>
  <c r="O48" i="13" s="1"/>
  <c r="AB48" i="13"/>
  <c r="CX94" i="15"/>
  <c r="CX92" i="15"/>
  <c r="CX90" i="15"/>
  <c r="CX88" i="15"/>
  <c r="CX93" i="15"/>
  <c r="CX91" i="15"/>
  <c r="CX89" i="15"/>
  <c r="CX87" i="15"/>
  <c r="CQ54" i="13"/>
  <c r="P54" i="13" s="1"/>
  <c r="CP54" i="13" s="1"/>
  <c r="O54" i="13" s="1"/>
  <c r="AB54" i="13"/>
  <c r="CX100" i="15"/>
  <c r="CX98" i="15"/>
  <c r="CX99" i="15"/>
  <c r="CQ56" i="13"/>
  <c r="P56" i="13" s="1"/>
  <c r="CZ58" i="13"/>
  <c r="Y58" i="13" s="1"/>
  <c r="CY58" i="13"/>
  <c r="X58" i="13" s="1"/>
  <c r="GM58" i="13" s="1"/>
  <c r="CZ59" i="13"/>
  <c r="Y59" i="13" s="1"/>
  <c r="CY59" i="13"/>
  <c r="X59" i="13" s="1"/>
  <c r="GM59" i="13" s="1"/>
  <c r="EU101" i="13"/>
  <c r="P81" i="13"/>
  <c r="FR22" i="13"/>
  <c r="FV22" i="13"/>
  <c r="AD25" i="13"/>
  <c r="CR25" i="13" s="1"/>
  <c r="Q25" i="13" s="1"/>
  <c r="CP25" i="13" s="1"/>
  <c r="O25" i="13" s="1"/>
  <c r="AD27" i="13"/>
  <c r="CR27" i="13" s="1"/>
  <c r="Q27" i="13" s="1"/>
  <c r="CP27" i="13" s="1"/>
  <c r="O27" i="13" s="1"/>
  <c r="AD29" i="13"/>
  <c r="CR29" i="13" s="1"/>
  <c r="Q29" i="13" s="1"/>
  <c r="AD31" i="13"/>
  <c r="CR31" i="13" s="1"/>
  <c r="Q31" i="13" s="1"/>
  <c r="CP31" i="13" s="1"/>
  <c r="O31" i="13" s="1"/>
  <c r="AB33" i="13"/>
  <c r="AD33" i="13"/>
  <c r="CR33" i="13" s="1"/>
  <c r="Q33" i="13" s="1"/>
  <c r="CP33" i="13" s="1"/>
  <c r="O33" i="13" s="1"/>
  <c r="AD35" i="13"/>
  <c r="CR35" i="13" s="1"/>
  <c r="Q35" i="13" s="1"/>
  <c r="CP35" i="13" s="1"/>
  <c r="O35" i="13" s="1"/>
  <c r="AD37" i="13"/>
  <c r="CR37" i="13" s="1"/>
  <c r="Q37" i="13" s="1"/>
  <c r="CP37" i="13" s="1"/>
  <c r="O37" i="13" s="1"/>
  <c r="AD39" i="13"/>
  <c r="CR39" i="13" s="1"/>
  <c r="Q39" i="13" s="1"/>
  <c r="CP39" i="13" s="1"/>
  <c r="O39" i="13" s="1"/>
  <c r="AB41" i="13"/>
  <c r="AD41" i="13"/>
  <c r="CR41" i="13" s="1"/>
  <c r="Q41" i="13" s="1"/>
  <c r="CP41" i="13" s="1"/>
  <c r="O41" i="13" s="1"/>
  <c r="AD42" i="13"/>
  <c r="CR42" i="13" s="1"/>
  <c r="Q42" i="13" s="1"/>
  <c r="AD43" i="13"/>
  <c r="CR43" i="13" s="1"/>
  <c r="Q43" i="13" s="1"/>
  <c r="R45" i="13"/>
  <c r="V45" i="13"/>
  <c r="S45" i="13"/>
  <c r="U45" i="13"/>
  <c r="W45" i="13"/>
  <c r="CZ46" i="13"/>
  <c r="Y46" i="13" s="1"/>
  <c r="CZ47" i="13"/>
  <c r="Y47" i="13" s="1"/>
  <c r="R49" i="13"/>
  <c r="V49" i="13"/>
  <c r="S49" i="13"/>
  <c r="U49" i="13"/>
  <c r="W49" i="13"/>
  <c r="CZ50" i="13"/>
  <c r="Y50" i="13" s="1"/>
  <c r="GN50" i="13" s="1"/>
  <c r="CZ51" i="13"/>
  <c r="Y51" i="13" s="1"/>
  <c r="GN51" i="13" s="1"/>
  <c r="GM51" i="13"/>
  <c r="CZ52" i="13"/>
  <c r="Y52" i="13" s="1"/>
  <c r="GN52" i="13" s="1"/>
  <c r="GM52" i="13"/>
  <c r="CZ53" i="13"/>
  <c r="Y53" i="13" s="1"/>
  <c r="GN53" i="13" s="1"/>
  <c r="R55" i="13"/>
  <c r="V55" i="13"/>
  <c r="Q55" i="13"/>
  <c r="S55" i="13"/>
  <c r="U55" i="13"/>
  <c r="W55" i="13"/>
  <c r="CY60" i="13"/>
  <c r="X60" i="13" s="1"/>
  <c r="CY61" i="13"/>
  <c r="X61" i="13" s="1"/>
  <c r="R62" i="13"/>
  <c r="CX112" i="15"/>
  <c r="CX110" i="15"/>
  <c r="CX108" i="15"/>
  <c r="P57" i="13"/>
  <c r="CP57" i="13" s="1"/>
  <c r="O57" i="13" s="1"/>
  <c r="R57" i="13"/>
  <c r="CZ57" i="13" s="1"/>
  <c r="Y57" i="13" s="1"/>
  <c r="T57" i="13"/>
  <c r="V57" i="13"/>
  <c r="CZ61" i="13"/>
  <c r="Y61" i="13" s="1"/>
  <c r="FY65" i="13"/>
  <c r="AO101" i="13"/>
  <c r="CX67" i="15"/>
  <c r="CX69" i="15"/>
  <c r="CX79" i="15"/>
  <c r="CX81" i="15"/>
  <c r="CX83" i="15"/>
  <c r="CX95" i="15"/>
  <c r="CX97" i="15"/>
  <c r="CX101" i="15"/>
  <c r="CX103" i="15"/>
  <c r="CX107" i="15"/>
  <c r="CX109" i="15"/>
  <c r="CX111" i="15"/>
  <c r="CX113" i="15"/>
  <c r="CX115" i="15"/>
  <c r="CX72" i="15"/>
  <c r="CX70" i="15"/>
  <c r="CX68" i="15"/>
  <c r="CX86" i="15"/>
  <c r="CX84" i="15"/>
  <c r="CX82" i="15"/>
  <c r="CX80" i="15"/>
  <c r="CX106" i="15"/>
  <c r="CX104" i="15"/>
  <c r="CX102" i="15"/>
  <c r="AB60" i="13"/>
  <c r="AB61" i="13"/>
  <c r="I62" i="13"/>
  <c r="V62" i="13" s="1"/>
  <c r="AB62" i="13"/>
  <c r="I63" i="13"/>
  <c r="AB63" i="13"/>
  <c r="CG65" i="13"/>
  <c r="EG65" i="13"/>
  <c r="F81" i="13"/>
  <c r="GN59" i="13" l="1"/>
  <c r="CI65" i="13"/>
  <c r="CR45" i="13"/>
  <c r="Q45" i="13" s="1"/>
  <c r="CP45" i="13" s="1"/>
  <c r="O45" i="13" s="1"/>
  <c r="AB45" i="13"/>
  <c r="GN46" i="13"/>
  <c r="AT65" i="13"/>
  <c r="CC22" i="13"/>
  <c r="AB40" i="13"/>
  <c r="CR28" i="13"/>
  <c r="Q28" i="13" s="1"/>
  <c r="CP28" i="13" s="1"/>
  <c r="O28" i="13" s="1"/>
  <c r="AB28" i="13"/>
  <c r="EL65" i="13"/>
  <c r="FU22" i="13"/>
  <c r="CR32" i="13"/>
  <c r="Q32" i="13" s="1"/>
  <c r="CP32" i="13" s="1"/>
  <c r="O32" i="13" s="1"/>
  <c r="AB32" i="13"/>
  <c r="CR49" i="13"/>
  <c r="Q49" i="13" s="1"/>
  <c r="CP49" i="13" s="1"/>
  <c r="O49" i="13" s="1"/>
  <c r="AB49" i="13"/>
  <c r="GN58" i="13"/>
  <c r="AB44" i="13"/>
  <c r="CZ37" i="13"/>
  <c r="Y37" i="13" s="1"/>
  <c r="CZ30" i="13"/>
  <c r="Y30" i="13" s="1"/>
  <c r="F117" i="13"/>
  <c r="BC18" i="13"/>
  <c r="GM60" i="13"/>
  <c r="HD60" i="13" s="1"/>
  <c r="AB35" i="13"/>
  <c r="CP55" i="13"/>
  <c r="O55" i="13" s="1"/>
  <c r="GM50" i="13"/>
  <c r="AB39" i="13"/>
  <c r="AB31" i="13"/>
  <c r="AB56" i="13"/>
  <c r="CP44" i="13"/>
  <c r="O44" i="13" s="1"/>
  <c r="CP30" i="13"/>
  <c r="O30" i="13" s="1"/>
  <c r="AB47" i="13"/>
  <c r="AB42" i="13"/>
  <c r="AP65" i="13"/>
  <c r="CP29" i="13"/>
  <c r="O29" i="13" s="1"/>
  <c r="AQ65" i="13"/>
  <c r="BZ22" i="13"/>
  <c r="AB46" i="13"/>
  <c r="P114" i="13"/>
  <c r="ET18" i="13"/>
  <c r="AB27" i="13"/>
  <c r="GN47" i="13"/>
  <c r="CP56" i="13"/>
  <c r="O56" i="13" s="1"/>
  <c r="GM61" i="13"/>
  <c r="HD61" i="13" s="1"/>
  <c r="GM53" i="13"/>
  <c r="AB37" i="13"/>
  <c r="AB29" i="13"/>
  <c r="CP40" i="13"/>
  <c r="O40" i="13" s="1"/>
  <c r="CR34" i="13"/>
  <c r="Q34" i="13" s="1"/>
  <c r="CP34" i="13" s="1"/>
  <c r="O34" i="13" s="1"/>
  <c r="AB34" i="13"/>
  <c r="CR24" i="13"/>
  <c r="Q24" i="13" s="1"/>
  <c r="AB24" i="13"/>
  <c r="F114" i="13"/>
  <c r="BB18" i="13"/>
  <c r="E39" i="12"/>
  <c r="E45" i="12" s="1"/>
  <c r="E35" i="12"/>
  <c r="H23" i="12"/>
  <c r="H24" i="12" s="1"/>
  <c r="D24" i="12"/>
  <c r="D39" i="12" s="1"/>
  <c r="H32" i="9"/>
  <c r="H34" i="9" s="1"/>
  <c r="D7" i="9" s="1"/>
  <c r="GM41" i="13"/>
  <c r="GN41" i="13"/>
  <c r="GM39" i="13"/>
  <c r="GN39" i="13"/>
  <c r="GM37" i="13"/>
  <c r="GN37" i="13"/>
  <c r="GM35" i="13"/>
  <c r="GN35" i="13"/>
  <c r="GM33" i="13"/>
  <c r="GN33" i="13"/>
  <c r="GM31" i="13"/>
  <c r="GN31" i="13"/>
  <c r="GM29" i="13"/>
  <c r="GN29" i="13"/>
  <c r="GM27" i="13"/>
  <c r="GN27" i="13"/>
  <c r="GM25" i="13"/>
  <c r="GN25" i="13"/>
  <c r="F105" i="13"/>
  <c r="AO18" i="13"/>
  <c r="AX65" i="13"/>
  <c r="CG22" i="13"/>
  <c r="CX118" i="15"/>
  <c r="W63" i="13"/>
  <c r="EB65" i="13" s="1"/>
  <c r="U63" i="13"/>
  <c r="DZ65" i="13" s="1"/>
  <c r="S63" i="13"/>
  <c r="Q63" i="13"/>
  <c r="CX117" i="15"/>
  <c r="W62" i="13"/>
  <c r="AJ65" i="13" s="1"/>
  <c r="U62" i="13"/>
  <c r="AH65" i="13" s="1"/>
  <c r="S62" i="13"/>
  <c r="Q62" i="13"/>
  <c r="D39" i="2"/>
  <c r="G108" i="3"/>
  <c r="G107" i="3"/>
  <c r="EP65" i="13"/>
  <c r="FY22" i="13"/>
  <c r="P74" i="13"/>
  <c r="G16" i="14" s="1"/>
  <c r="G18" i="14" s="1"/>
  <c r="EH101" i="13"/>
  <c r="EH22" i="13"/>
  <c r="CP24" i="13"/>
  <c r="O24" i="13" s="1"/>
  <c r="G35" i="11"/>
  <c r="H34" i="11"/>
  <c r="D45" i="11"/>
  <c r="D43" i="11"/>
  <c r="D46" i="11"/>
  <c r="P120" i="13"/>
  <c r="EM18" i="13"/>
  <c r="P111" i="13"/>
  <c r="EI18" i="13"/>
  <c r="AZ65" i="13"/>
  <c r="CI22" i="13"/>
  <c r="E50" i="11"/>
  <c r="E48" i="11"/>
  <c r="E49" i="11" s="1"/>
  <c r="E43" i="12"/>
  <c r="F45" i="11"/>
  <c r="F46" i="11"/>
  <c r="F50" i="11" s="1"/>
  <c r="F35" i="12"/>
  <c r="F39" i="12"/>
  <c r="GX62" i="13"/>
  <c r="CJ65" i="13" s="1"/>
  <c r="T62" i="13"/>
  <c r="P62" i="13"/>
  <c r="AB25" i="13"/>
  <c r="CY57" i="13"/>
  <c r="X57" i="13" s="1"/>
  <c r="GN57" i="13" s="1"/>
  <c r="GX63" i="13"/>
  <c r="GB65" i="13" s="1"/>
  <c r="T63" i="13"/>
  <c r="DY65" i="13" s="1"/>
  <c r="P63" i="13"/>
  <c r="CP63" i="13" s="1"/>
  <c r="O63" i="13" s="1"/>
  <c r="AG65" i="13"/>
  <c r="GN61" i="13"/>
  <c r="GN60" i="13"/>
  <c r="D35" i="11"/>
  <c r="CZ54" i="13"/>
  <c r="Y54" i="13" s="1"/>
  <c r="GN54" i="13" s="1"/>
  <c r="CZ44" i="13"/>
  <c r="Y44" i="13" s="1"/>
  <c r="GN44" i="13" s="1"/>
  <c r="CP42" i="13"/>
  <c r="O42" i="13" s="1"/>
  <c r="CZ56" i="13"/>
  <c r="Y56" i="13" s="1"/>
  <c r="GM56" i="13" s="1"/>
  <c r="CZ48" i="13"/>
  <c r="Y48" i="13" s="1"/>
  <c r="GN48" i="13" s="1"/>
  <c r="CY40" i="13"/>
  <c r="X40" i="13" s="1"/>
  <c r="GN40" i="13" s="1"/>
  <c r="CY38" i="13"/>
  <c r="X38" i="13" s="1"/>
  <c r="GN38" i="13" s="1"/>
  <c r="CY36" i="13"/>
  <c r="X36" i="13" s="1"/>
  <c r="GN36" i="13" s="1"/>
  <c r="CY34" i="13"/>
  <c r="X34" i="13" s="1"/>
  <c r="CY32" i="13"/>
  <c r="X32" i="13" s="1"/>
  <c r="CY30" i="13"/>
  <c r="X30" i="13" s="1"/>
  <c r="GN30" i="13" s="1"/>
  <c r="CY28" i="13"/>
  <c r="X28" i="13" s="1"/>
  <c r="CY26" i="13"/>
  <c r="X26" i="13" s="1"/>
  <c r="GN26" i="13" s="1"/>
  <c r="EG101" i="13"/>
  <c r="P69" i="13"/>
  <c r="EG22" i="13"/>
  <c r="CZ55" i="13"/>
  <c r="Y55" i="13" s="1"/>
  <c r="CY55" i="13"/>
  <c r="X55" i="13" s="1"/>
  <c r="GM55" i="13" s="1"/>
  <c r="CZ49" i="13"/>
  <c r="Y49" i="13" s="1"/>
  <c r="CY49" i="13"/>
  <c r="X49" i="13" s="1"/>
  <c r="GM49" i="13" s="1"/>
  <c r="CZ45" i="13"/>
  <c r="Y45" i="13" s="1"/>
  <c r="CY45" i="13"/>
  <c r="X45" i="13" s="1"/>
  <c r="P117" i="13"/>
  <c r="EU18" i="13"/>
  <c r="ER65" i="13"/>
  <c r="GA22" i="13"/>
  <c r="F120" i="13"/>
  <c r="AU18" i="13"/>
  <c r="AP101" i="13"/>
  <c r="F74" i="13"/>
  <c r="V16" i="14" s="1"/>
  <c r="V18" i="14" s="1"/>
  <c r="AP22" i="13"/>
  <c r="DV65" i="13"/>
  <c r="V63" i="13"/>
  <c r="EA65" i="13" s="1"/>
  <c r="R63" i="13"/>
  <c r="DW65" i="13" s="1"/>
  <c r="CP43" i="13"/>
  <c r="O43" i="13" s="1"/>
  <c r="AI65" i="13"/>
  <c r="AE65" i="13"/>
  <c r="H35" i="11"/>
  <c r="AB43" i="13"/>
  <c r="CZ24" i="13"/>
  <c r="Y24" i="13" s="1"/>
  <c r="H35" i="12"/>
  <c r="GN32" i="13" l="1"/>
  <c r="GM32" i="13"/>
  <c r="GN28" i="13"/>
  <c r="GM28" i="13"/>
  <c r="AD65" i="13"/>
  <c r="AD22" i="13" s="1"/>
  <c r="AQ22" i="13"/>
  <c r="AQ101" i="13"/>
  <c r="F75" i="13"/>
  <c r="F83" i="13"/>
  <c r="U16" i="14" s="1"/>
  <c r="U18" i="14" s="1"/>
  <c r="AT22" i="13"/>
  <c r="AT101" i="13"/>
  <c r="GM57" i="13"/>
  <c r="EL22" i="13"/>
  <c r="EL101" i="13"/>
  <c r="P83" i="13"/>
  <c r="F16" i="14" s="1"/>
  <c r="F18" i="14" s="1"/>
  <c r="GN34" i="13"/>
  <c r="GN56" i="13"/>
  <c r="DU65" i="13"/>
  <c r="DH65" i="13" s="1"/>
  <c r="CP62" i="13"/>
  <c r="O62" i="13" s="1"/>
  <c r="GM45" i="13"/>
  <c r="D35" i="12"/>
  <c r="E46" i="12"/>
  <c r="E51" i="12" s="1"/>
  <c r="DN65" i="13"/>
  <c r="EA22" i="13"/>
  <c r="DJ65" i="13"/>
  <c r="DW22" i="13"/>
  <c r="Q65" i="13"/>
  <c r="DL65" i="13"/>
  <c r="DY22" i="13"/>
  <c r="DM65" i="13"/>
  <c r="DZ22" i="13"/>
  <c r="FW65" i="13"/>
  <c r="FZ65" i="13"/>
  <c r="DU22" i="13"/>
  <c r="G37" i="11"/>
  <c r="P105" i="13"/>
  <c r="EG18" i="13"/>
  <c r="GM42" i="13"/>
  <c r="GN42" i="13"/>
  <c r="V65" i="13"/>
  <c r="AI22" i="13"/>
  <c r="GN43" i="13"/>
  <c r="GM43" i="13"/>
  <c r="F110" i="13"/>
  <c r="AP18" i="13"/>
  <c r="P76" i="13"/>
  <c r="ER101" i="13"/>
  <c r="ER22" i="13"/>
  <c r="ES65" i="13"/>
  <c r="GB22" i="13"/>
  <c r="F45" i="12"/>
  <c r="F46" i="12" s="1"/>
  <c r="D45" i="12"/>
  <c r="D46" i="12" s="1"/>
  <c r="D43" i="12"/>
  <c r="AZ101" i="13"/>
  <c r="F76" i="13"/>
  <c r="AZ22" i="13"/>
  <c r="AB65" i="13"/>
  <c r="GN24" i="13"/>
  <c r="GM24" i="13"/>
  <c r="P72" i="13"/>
  <c r="EP101" i="13"/>
  <c r="EP22" i="13"/>
  <c r="U65" i="13"/>
  <c r="AH22" i="13"/>
  <c r="CY63" i="13"/>
  <c r="X63" i="13" s="1"/>
  <c r="CZ63" i="13"/>
  <c r="Y63" i="13" s="1"/>
  <c r="ED65" i="13" s="1"/>
  <c r="GM26" i="13"/>
  <c r="GM30" i="13"/>
  <c r="GM34" i="13"/>
  <c r="GM36" i="13"/>
  <c r="GM38" i="13"/>
  <c r="GM40" i="13"/>
  <c r="GM44" i="13"/>
  <c r="GM48" i="13"/>
  <c r="GM54" i="13"/>
  <c r="DX65" i="13"/>
  <c r="GN45" i="13"/>
  <c r="GN49" i="13"/>
  <c r="GN55" i="13"/>
  <c r="G37" i="12"/>
  <c r="R65" i="13"/>
  <c r="AE22" i="13"/>
  <c r="DI65" i="13"/>
  <c r="DV22" i="13"/>
  <c r="T65" i="13"/>
  <c r="AG22" i="13"/>
  <c r="BA65" i="13"/>
  <c r="CJ22" i="13"/>
  <c r="D50" i="11"/>
  <c r="D48" i="11"/>
  <c r="P110" i="13"/>
  <c r="EH18" i="13"/>
  <c r="CY62" i="13"/>
  <c r="X62" i="13" s="1"/>
  <c r="AK65" i="13" s="1"/>
  <c r="CZ62" i="13"/>
  <c r="Y62" i="13" s="1"/>
  <c r="AL65" i="13" s="1"/>
  <c r="AF65" i="13"/>
  <c r="W65" i="13"/>
  <c r="AJ22" i="13"/>
  <c r="AX101" i="13"/>
  <c r="F72" i="13"/>
  <c r="AX22" i="13"/>
  <c r="DO65" i="13"/>
  <c r="EB22" i="13"/>
  <c r="AC65" i="13"/>
  <c r="DT65" i="13"/>
  <c r="GN63" i="13" l="1"/>
  <c r="FT65" i="13" s="1"/>
  <c r="FX65" i="13"/>
  <c r="P119" i="13"/>
  <c r="EL18" i="13"/>
  <c r="F119" i="13"/>
  <c r="AT18" i="13"/>
  <c r="F111" i="13"/>
  <c r="AQ18" i="13"/>
  <c r="E48" i="12"/>
  <c r="E49" i="12" s="1"/>
  <c r="E52" i="12"/>
  <c r="Y65" i="13"/>
  <c r="AL22" i="13"/>
  <c r="F51" i="12"/>
  <c r="F52" i="12" s="1"/>
  <c r="X65" i="13"/>
  <c r="AK22" i="13"/>
  <c r="EK65" i="13"/>
  <c r="FT22" i="13"/>
  <c r="D51" i="12"/>
  <c r="D52" i="12" s="1"/>
  <c r="D48" i="12"/>
  <c r="CE65" i="13"/>
  <c r="CF65" i="13"/>
  <c r="P65" i="13"/>
  <c r="CH65" i="13"/>
  <c r="AC22" i="13"/>
  <c r="P89" i="13"/>
  <c r="DO101" i="13"/>
  <c r="DO22" i="13"/>
  <c r="S65" i="13"/>
  <c r="AF22" i="13"/>
  <c r="F85" i="13"/>
  <c r="W16" i="14" s="1"/>
  <c r="W18" i="14" s="1"/>
  <c r="BA101" i="13"/>
  <c r="BA22" i="13"/>
  <c r="T101" i="13"/>
  <c r="F86" i="13"/>
  <c r="T22" i="13"/>
  <c r="P77" i="13"/>
  <c r="P95" i="13" s="1"/>
  <c r="DI101" i="13"/>
  <c r="DI22" i="13"/>
  <c r="F79" i="13"/>
  <c r="R101" i="13"/>
  <c r="R22" i="13"/>
  <c r="DQ65" i="13"/>
  <c r="ED22" i="13"/>
  <c r="F112" i="13"/>
  <c r="AZ18" i="13"/>
  <c r="ES101" i="13"/>
  <c r="P85" i="13"/>
  <c r="H16" i="14" s="1"/>
  <c r="H18" i="14" s="1"/>
  <c r="ES22" i="13"/>
  <c r="P112" i="13"/>
  <c r="ER18" i="13"/>
  <c r="G38" i="11"/>
  <c r="G39" i="11" s="1"/>
  <c r="H37" i="11"/>
  <c r="H38" i="11" s="1"/>
  <c r="H39" i="11" s="1"/>
  <c r="EQ65" i="13"/>
  <c r="FZ22" i="13"/>
  <c r="EN65" i="13"/>
  <c r="FW22" i="13"/>
  <c r="P87" i="13"/>
  <c r="DM101" i="13"/>
  <c r="DM22" i="13"/>
  <c r="DL101" i="13"/>
  <c r="P86" i="13"/>
  <c r="DL22" i="13"/>
  <c r="Q101" i="13"/>
  <c r="F77" i="13"/>
  <c r="F95" i="13" s="1"/>
  <c r="Q22" i="13"/>
  <c r="DJ101" i="13"/>
  <c r="P79" i="13"/>
  <c r="DJ22" i="13"/>
  <c r="DN101" i="13"/>
  <c r="P88" i="13"/>
  <c r="DN22" i="13"/>
  <c r="GM62" i="13"/>
  <c r="HD62" i="13" s="1"/>
  <c r="CM65" i="13" s="1"/>
  <c r="EC65" i="13"/>
  <c r="GM63" i="13"/>
  <c r="DG65" i="13"/>
  <c r="DT22" i="13"/>
  <c r="F108" i="13"/>
  <c r="AX18" i="13"/>
  <c r="W101" i="13"/>
  <c r="F89" i="13"/>
  <c r="W22" i="13"/>
  <c r="D49" i="11"/>
  <c r="H37" i="12"/>
  <c r="H38" i="12" s="1"/>
  <c r="G38" i="12"/>
  <c r="G39" i="12" s="1"/>
  <c r="DK65" i="13"/>
  <c r="DX22" i="13"/>
  <c r="U101" i="13"/>
  <c r="F87" i="13"/>
  <c r="U22" i="13"/>
  <c r="P108" i="13"/>
  <c r="EP18" i="13"/>
  <c r="O65" i="13"/>
  <c r="AB22" i="13"/>
  <c r="V101" i="13"/>
  <c r="F88" i="13"/>
  <c r="V22" i="13"/>
  <c r="EO65" i="13"/>
  <c r="FX22" i="13"/>
  <c r="DH101" i="13"/>
  <c r="P68" i="13"/>
  <c r="P96" i="13" s="1"/>
  <c r="DH22" i="13"/>
  <c r="GN62" i="13"/>
  <c r="CB65" i="13" s="1"/>
  <c r="CA65" i="13"/>
  <c r="AS65" i="13" l="1"/>
  <c r="CB22" i="13"/>
  <c r="AR65" i="13"/>
  <c r="CA22" i="13"/>
  <c r="P104" i="13"/>
  <c r="P132" i="13" s="1"/>
  <c r="DH18" i="13"/>
  <c r="EO101" i="13"/>
  <c r="P71" i="13"/>
  <c r="EO22" i="13"/>
  <c r="F123" i="13"/>
  <c r="U18" i="13"/>
  <c r="P80" i="13"/>
  <c r="P94" i="13" s="1"/>
  <c r="DK101" i="13"/>
  <c r="DK22" i="13"/>
  <c r="H43" i="12"/>
  <c r="HD63" i="13"/>
  <c r="GE65" i="13" s="1"/>
  <c r="FS65" i="13"/>
  <c r="DP65" i="13"/>
  <c r="EC22" i="13"/>
  <c r="P124" i="13"/>
  <c r="DN18" i="13"/>
  <c r="F113" i="13"/>
  <c r="F131" i="13" s="1"/>
  <c r="Q18" i="13"/>
  <c r="P70" i="13"/>
  <c r="EN101" i="13"/>
  <c r="EN22" i="13"/>
  <c r="EQ101" i="13"/>
  <c r="P73" i="13"/>
  <c r="EQ22" i="13"/>
  <c r="G45" i="11"/>
  <c r="H45" i="11" s="1"/>
  <c r="H46" i="11" s="1"/>
  <c r="G43" i="11"/>
  <c r="P113" i="13"/>
  <c r="P131" i="13" s="1"/>
  <c r="DI18" i="13"/>
  <c r="F122" i="13"/>
  <c r="T18" i="13"/>
  <c r="F121" i="13"/>
  <c r="BA18" i="13"/>
  <c r="AY65" i="13"/>
  <c r="CH22" i="13"/>
  <c r="AW65" i="13"/>
  <c r="CF22" i="13"/>
  <c r="D49" i="12"/>
  <c r="EK101" i="13"/>
  <c r="P82" i="13"/>
  <c r="E16" i="14" s="1"/>
  <c r="EK22" i="13"/>
  <c r="X101" i="13"/>
  <c r="F91" i="13"/>
  <c r="F97" i="13" s="1"/>
  <c r="X22" i="13"/>
  <c r="Y101" i="13"/>
  <c r="F92" i="13"/>
  <c r="F98" i="13" s="1"/>
  <c r="Y22" i="13"/>
  <c r="F124" i="13"/>
  <c r="V18" i="13"/>
  <c r="O101" i="13"/>
  <c r="F67" i="13"/>
  <c r="O22" i="13"/>
  <c r="G45" i="12"/>
  <c r="H45" i="12" s="1"/>
  <c r="H46" i="12" s="1"/>
  <c r="H51" i="12" s="1"/>
  <c r="G43" i="12"/>
  <c r="F125" i="13"/>
  <c r="W18" i="13"/>
  <c r="P67" i="13"/>
  <c r="DG101" i="13"/>
  <c r="DG22" i="13"/>
  <c r="BD65" i="13"/>
  <c r="CM22" i="13"/>
  <c r="P115" i="13"/>
  <c r="DJ18" i="13"/>
  <c r="P122" i="13"/>
  <c r="DL18" i="13"/>
  <c r="P123" i="13"/>
  <c r="DM18" i="13"/>
  <c r="H43" i="11"/>
  <c r="P121" i="13"/>
  <c r="ES18" i="13"/>
  <c r="P92" i="13"/>
  <c r="P98" i="13" s="1"/>
  <c r="DQ101" i="13"/>
  <c r="DQ22" i="13"/>
  <c r="F115" i="13"/>
  <c r="R18" i="13"/>
  <c r="S101" i="13"/>
  <c r="F80" i="13"/>
  <c r="F94" i="13" s="1"/>
  <c r="S22" i="13"/>
  <c r="P125" i="13"/>
  <c r="DO18" i="13"/>
  <c r="P101" i="13"/>
  <c r="F68" i="13"/>
  <c r="F96" i="13" s="1"/>
  <c r="P22" i="13"/>
  <c r="AV65" i="13"/>
  <c r="CE22" i="13"/>
  <c r="G46" i="11" l="1"/>
  <c r="F99" i="13"/>
  <c r="Y16" i="14"/>
  <c r="Y18" i="14" s="1"/>
  <c r="H50" i="11"/>
  <c r="E7" i="11" s="1"/>
  <c r="P103" i="13"/>
  <c r="DG18" i="13"/>
  <c r="P118" i="13"/>
  <c r="EK18" i="13"/>
  <c r="AY101" i="13"/>
  <c r="F73" i="13"/>
  <c r="AY22" i="13"/>
  <c r="EJ65" i="13"/>
  <c r="FS22" i="13"/>
  <c r="J16" i="14"/>
  <c r="J18" i="14" s="1"/>
  <c r="AV101" i="13"/>
  <c r="F70" i="13"/>
  <c r="AV22" i="13"/>
  <c r="F116" i="13"/>
  <c r="F130" i="13" s="1"/>
  <c r="S18" i="13"/>
  <c r="P128" i="13"/>
  <c r="P134" i="13" s="1"/>
  <c r="DQ18" i="13"/>
  <c r="F103" i="13"/>
  <c r="O18" i="13"/>
  <c r="F127" i="13"/>
  <c r="F133" i="13" s="1"/>
  <c r="X18" i="13"/>
  <c r="E18" i="14"/>
  <c r="I16" i="14"/>
  <c r="I18" i="14" s="1"/>
  <c r="DP101" i="13"/>
  <c r="P91" i="13"/>
  <c r="P97" i="13" s="1"/>
  <c r="P99" i="13" s="1"/>
  <c r="DP22" i="13"/>
  <c r="EV65" i="13"/>
  <c r="GE22" i="13"/>
  <c r="P116" i="13"/>
  <c r="P130" i="13" s="1"/>
  <c r="DK18" i="13"/>
  <c r="P107" i="13"/>
  <c r="EO18" i="13"/>
  <c r="AR101" i="13"/>
  <c r="F93" i="13"/>
  <c r="AR22" i="13"/>
  <c r="AS101" i="13"/>
  <c r="F82" i="13"/>
  <c r="T16" i="14" s="1"/>
  <c r="AS22" i="13"/>
  <c r="G46" i="12"/>
  <c r="F104" i="13"/>
  <c r="F132" i="13" s="1"/>
  <c r="P18" i="13"/>
  <c r="BD101" i="13"/>
  <c r="F90" i="13"/>
  <c r="BD22" i="13"/>
  <c r="F128" i="13"/>
  <c r="F134" i="13" s="1"/>
  <c r="Y18" i="13"/>
  <c r="F71" i="13"/>
  <c r="AW101" i="13"/>
  <c r="AW22" i="13"/>
  <c r="P109" i="13"/>
  <c r="EQ18" i="13"/>
  <c r="P106" i="13"/>
  <c r="EN18" i="13"/>
  <c r="H52" i="12" l="1"/>
  <c r="E7" i="12" s="1"/>
  <c r="G48" i="11"/>
  <c r="H48" i="11" s="1"/>
  <c r="H49" i="11" s="1"/>
  <c r="G50" i="11"/>
  <c r="F118" i="13"/>
  <c r="AS18" i="13"/>
  <c r="F107" i="13"/>
  <c r="AW18" i="13"/>
  <c r="F126" i="13"/>
  <c r="BD18" i="13"/>
  <c r="G51" i="12"/>
  <c r="G52" i="12" s="1"/>
  <c r="G48" i="12"/>
  <c r="H48" i="12" s="1"/>
  <c r="H49" i="12" s="1"/>
  <c r="T18" i="14"/>
  <c r="X16" i="14"/>
  <c r="X18" i="14" s="1"/>
  <c r="F129" i="13"/>
  <c r="AR18" i="13"/>
  <c r="P90" i="13"/>
  <c r="EV101" i="13"/>
  <c r="EV22" i="13"/>
  <c r="F106" i="13"/>
  <c r="AV18" i="13"/>
  <c r="P93" i="13"/>
  <c r="EJ101" i="13"/>
  <c r="EJ22" i="13"/>
  <c r="P135" i="13"/>
  <c r="P127" i="13"/>
  <c r="P133" i="13" s="1"/>
  <c r="DP18" i="13"/>
  <c r="F109" i="13"/>
  <c r="AY18" i="13"/>
  <c r="F135" i="13"/>
  <c r="G49" i="12" l="1"/>
  <c r="P129" i="13"/>
  <c r="EJ18" i="13"/>
  <c r="P126" i="13"/>
  <c r="EV18" i="13"/>
  <c r="G49" i="11"/>
</calcChain>
</file>

<file path=xl/sharedStrings.xml><?xml version="1.0" encoding="utf-8"?>
<sst xmlns="http://schemas.openxmlformats.org/spreadsheetml/2006/main" count="7504" uniqueCount="2075">
  <si>
    <t>Деревянные конструкции</t>
  </si>
  <si>
    <t>*0,9</t>
  </si>
  <si>
    <t>*0,85</t>
  </si>
  <si>
    <t>Кровли</t>
  </si>
  <si>
    <t>Отделочные работы</t>
  </si>
  <si>
    <t>Проемы</t>
  </si>
  <si>
    <t>Крыши, кровля</t>
  </si>
  <si>
    <t>Материалы и конструкции ( строительные ) по ценникам и каталогом</t>
  </si>
  <si>
    <t>Перевозка грузов. Автомобильные перевозки  ( 2003 г., ч.1;  ФССЦпр-2011-изм. № 4-6 , раздел 3; )</t>
  </si>
  <si>
    <t>Перевозка грузов , (ФССЦпр 2011-изм. № 4-6, раздел 1):  погрузочно-разгрузочные работы  (НР и СП в прям. затратах )</t>
  </si>
  <si>
    <t>"УТВЕРЖДАЮ"</t>
  </si>
  <si>
    <t>___________________________</t>
  </si>
  <si>
    <t>" ___ " ___________ 20 ___ г.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</si>
  <si>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</si>
  <si>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</si>
  <si>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</si>
  <si>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№ п/п</t>
  </si>
  <si>
    <t>Наименование работ и затрат</t>
  </si>
  <si>
    <t>Единица измерения</t>
  </si>
  <si>
    <t>Количество</t>
  </si>
  <si>
    <t>Примечание</t>
  </si>
  <si>
    <t>Заказчик _________________</t>
  </si>
  <si>
    <t>Подрядчик _________________</t>
  </si>
  <si>
    <t>(наименование стройки и/или объекта)</t>
  </si>
  <si>
    <t>(наименование работ и затрат)</t>
  </si>
  <si>
    <t xml:space="preserve">Основание: </t>
  </si>
  <si>
    <t>Составлен(а) по ТСН-2001 с учетом Дополнения №: 43</t>
  </si>
  <si>
    <t>Шифр норматива и коды ресурсов</t>
  </si>
  <si>
    <t>Наименование работ и затрат, характеристика оборудования</t>
  </si>
  <si>
    <t>Количество на единицу</t>
  </si>
  <si>
    <t>Попра-вочные коэффи-
циенты</t>
  </si>
  <si>
    <t>Количество общее</t>
  </si>
  <si>
    <t>ТЕРр 56-1-1</t>
  </si>
  <si>
    <t>ТЕРр 56-2-2</t>
  </si>
  <si>
    <t>ТЕРр 56-3-1</t>
  </si>
  <si>
    <t>ТЕРр 58-3-1</t>
  </si>
  <si>
    <t>ТЕР 10-01-034-8</t>
  </si>
  <si>
    <r>
      <rPr>
        <sz val="11"/>
        <rFont val="Arial"/>
        <family val="2"/>
        <charset val="204"/>
      </rPr>
      <t xml:space="preserve">Установка в жилых и общественных зданиях оконных блоков из ПВХ профилей поворотных (откидных, поворотно-откидных) с площадью проема более 2 м2 трехстворчатых, в том числе при наличии створок глухого остекления
</t>
    </r>
    <r>
      <rPr>
        <i/>
        <sz val="11"/>
        <rFont val="Arial"/>
        <family val="2"/>
        <charset val="204"/>
      </rPr>
      <t>ПОПРАВКИ К: 
ЭММ )*1,25; 
ЗПМ )*1,25; 
ОЗП )*1,15; 
Труд.Стр. )*1,15; 
Труд.Маш. )*1,25</t>
    </r>
  </si>
  <si>
    <t>ТССЦ 203-1040</t>
  </si>
  <si>
    <t>ТССЦ 203-1038</t>
  </si>
  <si>
    <t>ТССЦ 203-1037</t>
  </si>
  <si>
    <t>ТЕР 10-01-029-2</t>
  </si>
  <si>
    <r>
      <rPr>
        <sz val="11"/>
        <rFont val="Arial"/>
        <family val="2"/>
        <charset val="204"/>
      </rPr>
      <t xml:space="preserve">Установка приборов оконных
</t>
    </r>
    <r>
      <rPr>
        <i/>
        <sz val="11"/>
        <rFont val="Arial"/>
        <family val="2"/>
        <charset val="204"/>
      </rPr>
      <t>ПОПРАВКИ К: 
ЭММ )*1,25; 
ЗПМ )*1,25; 
ОЗП )*1,15; 
Труд.Стр. )*1,15; 
Труд.Маш. )*1,25</t>
    </r>
  </si>
  <si>
    <t>ТССЦ 101-0955</t>
  </si>
  <si>
    <t>ТЕР 10-01-035-2</t>
  </si>
  <si>
    <r>
      <rPr>
        <sz val="11"/>
        <rFont val="Arial"/>
        <family val="2"/>
        <charset val="204"/>
      </rPr>
      <t xml:space="preserve">Установка подоконных досок из ПВХ в панельных стенах
</t>
    </r>
    <r>
      <rPr>
        <i/>
        <sz val="11"/>
        <rFont val="Arial"/>
        <family val="2"/>
        <charset val="204"/>
      </rPr>
      <t>ПОПРАВКИ К: 
ЭММ )*1,25; 
ЗПМ )*1,25; 
ОЗП )*1,15; 
Труд.Стр. )*1,15; 
Труд.Маш. )*1,25</t>
    </r>
  </si>
  <si>
    <t>ТССЦ 101-2912</t>
  </si>
  <si>
    <t>ТЕР 15-01-050-4</t>
  </si>
  <si>
    <r>
      <rPr>
        <sz val="11"/>
        <rFont val="Arial"/>
        <family val="2"/>
        <charset val="204"/>
      </rPr>
      <t xml:space="preserve">Облицовка оконных и дверных откосов декоративным бумажно-слоистым пластиком или листами из синтетических материалов на клее
</t>
    </r>
    <r>
      <rPr>
        <i/>
        <sz val="11"/>
        <rFont val="Arial"/>
        <family val="2"/>
        <charset val="204"/>
      </rPr>
      <t>ПОПРАВКИ К: 
ЭММ )*1,25; 
ЗПМ )*1,25; 
ОЗП )*1,15; 
Труд.Стр. )*1,15; 
Труд.Маш. )*1,25</t>
    </r>
  </si>
  <si>
    <t>ТССЦ 101-6871</t>
  </si>
  <si>
    <t>ТССЦ 101-5290</t>
  </si>
  <si>
    <t>ТЕР 10-01-036-1</t>
  </si>
  <si>
    <r>
      <rPr>
        <sz val="11"/>
        <rFont val="Arial"/>
        <family val="2"/>
        <charset val="204"/>
      </rPr>
      <t xml:space="preserve">Установка уголков ПВХ на клее
</t>
    </r>
    <r>
      <rPr>
        <i/>
        <sz val="11"/>
        <rFont val="Arial"/>
        <family val="2"/>
        <charset val="204"/>
      </rPr>
      <t>ПОПРАВКИ К: 
ЭММ )*1,25; 
ЗПМ )*1,25; 
ОЗП )*1,15; 
Труд.Стр. )*1,15; 
Труд.Маш. )*1,25</t>
    </r>
  </si>
  <si>
    <t>ТЕР 12-01-010-1</t>
  </si>
  <si>
    <r>
      <rPr>
        <sz val="11"/>
        <rFont val="Arial"/>
        <family val="2"/>
        <charset val="204"/>
      </rPr>
      <t xml:space="preserve">Устройство мелких покрытий (брандмауэры, парапеты, свесы и т.п.) из листовой оцинкованной стали
</t>
    </r>
    <r>
      <rPr>
        <i/>
        <sz val="11"/>
        <rFont val="Arial"/>
        <family val="2"/>
        <charset val="204"/>
      </rPr>
      <t>ПОПРАВКИ К: 
ЭММ )*1,25; 
ЗПМ )*1,25; 
ОЗП )*1,15; 
Труд.Стр. )*1,15; 
Труд.Маш. )*1,25</t>
    </r>
  </si>
  <si>
    <t>ТССЦ 101-2411</t>
  </si>
  <si>
    <t>ТССЦ 01-01-001-41</t>
  </si>
  <si>
    <t>ТССЦ 03-21-001-38</t>
  </si>
  <si>
    <t xml:space="preserve">Составил   </t>
  </si>
  <si>
    <t>(должность, подпись, инициалы, фамилия)</t>
  </si>
  <si>
    <t xml:space="preserve">Проверил   </t>
  </si>
  <si>
    <t>Smeta.RU  (495) 974-1589</t>
  </si>
  <si>
    <t>Форма 4</t>
  </si>
  <si>
    <t>Наименование стройки:</t>
  </si>
  <si>
    <t>Капитальный ремонт здания гаража (литера Д, Д1) под размещение мастерских профессиональной подготовки по адресу: Чувашская Республика, Вурнарский р-н, пгт. Вурнары, ул.Ленина, д.59</t>
  </si>
  <si>
    <t>Локальная смета 02-01-01</t>
  </si>
  <si>
    <t>общестроительные работы</t>
  </si>
  <si>
    <t>Составлена в ценах январь 2000 года</t>
  </si>
  <si>
    <t>Сметная стоимость</t>
  </si>
  <si>
    <t>тыс.руб</t>
  </si>
  <si>
    <t>Нормативная трудоемкость</t>
  </si>
  <si>
    <t>чел.-ч</t>
  </si>
  <si>
    <t>Сметная заработная плата</t>
  </si>
  <si>
    <t>Шифр и № позиции норматива</t>
  </si>
  <si>
    <t>Наименование работ и затрат, единица измерения</t>
  </si>
  <si>
    <t>Кол-во</t>
  </si>
  <si>
    <t>Стоимость ед, руб.</t>
  </si>
  <si>
    <t>Общая стоимость, руб.</t>
  </si>
  <si>
    <t>Затраты труда рабочих, чел.-ч., не занятых обсл. Машин</t>
  </si>
  <si>
    <t>Всего</t>
  </si>
  <si>
    <t>Экспл. Машин</t>
  </si>
  <si>
    <t>зар.платы</t>
  </si>
  <si>
    <t>Основной зар.платы</t>
  </si>
  <si>
    <t>в т.ч. Зарплаты</t>
  </si>
  <si>
    <t>обслуж. машины</t>
  </si>
  <si>
    <t>на един.</t>
  </si>
  <si>
    <t>всего</t>
  </si>
  <si>
    <t>1</t>
  </si>
  <si>
    <t>м3</t>
  </si>
  <si>
    <t xml:space="preserve">% НР </t>
  </si>
  <si>
    <t>*0,9=99%</t>
  </si>
  <si>
    <t>99</t>
  </si>
  <si>
    <t xml:space="preserve">% СП </t>
  </si>
  <si>
    <t>*0,85=59,5%</t>
  </si>
  <si>
    <t>59,5</t>
  </si>
  <si>
    <t xml:space="preserve">Итого с НР и СП </t>
  </si>
  <si>
    <t>2</t>
  </si>
  <si>
    <t>100 м2</t>
  </si>
  <si>
    <t>Строительный мусор</t>
  </si>
  <si>
    <t>т</t>
  </si>
  <si>
    <t>3</t>
  </si>
  <si>
    <t>*0,9=81%</t>
  </si>
  <si>
    <t>81</t>
  </si>
  <si>
    <t>*0,85=72,25%</t>
  </si>
  <si>
    <t>72,25</t>
  </si>
  <si>
    <t>4</t>
  </si>
  <si>
    <t>5</t>
  </si>
  <si>
    <t>Демонтаж оконных коробок в каменных стенах с отбивкой штукатурки в откосах</t>
  </si>
  <si>
    <t>100 ШТ</t>
  </si>
  <si>
    <t>82</t>
  </si>
  <si>
    <t>62</t>
  </si>
  <si>
    <t>5,1</t>
  </si>
  <si>
    <t>6</t>
  </si>
  <si>
    <t>Снятие оконных переплетов остекленных</t>
  </si>
  <si>
    <t>7</t>
  </si>
  <si>
    <t>8</t>
  </si>
  <si>
    <t>9</t>
  </si>
  <si>
    <t>м2</t>
  </si>
  <si>
    <t>10</t>
  </si>
  <si>
    <t>11</t>
  </si>
  <si>
    <t>12</t>
  </si>
  <si>
    <t>*0,9=117%</t>
  </si>
  <si>
    <t>117</t>
  </si>
  <si>
    <t>13</t>
  </si>
  <si>
    <t>14</t>
  </si>
  <si>
    <t>1 Т ГРУЗА</t>
  </si>
  <si>
    <t>15</t>
  </si>
  <si>
    <t>ОЗП</t>
  </si>
  <si>
    <t>ЭММ, в т.ч. ЗПМ</t>
  </si>
  <si>
    <t>Стоимость материальных ресурсов</t>
  </si>
  <si>
    <t>НР</t>
  </si>
  <si>
    <t>СП</t>
  </si>
  <si>
    <t>Перевозка грузов</t>
  </si>
  <si>
    <t>Погрузочно-разгрузочные работы</t>
  </si>
  <si>
    <t>Итого</t>
  </si>
  <si>
    <t>16</t>
  </si>
  <si>
    <t>68</t>
  </si>
  <si>
    <t>16,1</t>
  </si>
  <si>
    <t>17</t>
  </si>
  <si>
    <t>18</t>
  </si>
  <si>
    <t>19</t>
  </si>
  <si>
    <t>20</t>
  </si>
  <si>
    <t>21</t>
  </si>
  <si>
    <t>22</t>
  </si>
  <si>
    <t>23</t>
  </si>
  <si>
    <t>86</t>
  </si>
  <si>
    <t>70</t>
  </si>
  <si>
    <t>Конструкции стальные</t>
  </si>
  <si>
    <t>24</t>
  </si>
  <si>
    <t>25</t>
  </si>
  <si>
    <t>26</t>
  </si>
  <si>
    <t>27</t>
  </si>
  <si>
    <t>28</t>
  </si>
  <si>
    <t>КОМПЛ</t>
  </si>
  <si>
    <t>29</t>
  </si>
  <si>
    <t>30</t>
  </si>
  <si>
    <t>31</t>
  </si>
  <si>
    <t>Объем: 0,03=3/100</t>
  </si>
  <si>
    <t>ШТ</t>
  </si>
  <si>
    <t>32</t>
  </si>
  <si>
    <t>33</t>
  </si>
  <si>
    <t>34</t>
  </si>
  <si>
    <t>35</t>
  </si>
  <si>
    <t>36</t>
  </si>
  <si>
    <t>106,2</t>
  </si>
  <si>
    <t>37</t>
  </si>
  <si>
    <t>38</t>
  </si>
  <si>
    <t>39</t>
  </si>
  <si>
    <t>40</t>
  </si>
  <si>
    <t>100 м</t>
  </si>
  <si>
    <t>41</t>
  </si>
  <si>
    <t>м</t>
  </si>
  <si>
    <t>42</t>
  </si>
  <si>
    <t>10 ШТ</t>
  </si>
  <si>
    <t>43</t>
  </si>
  <si>
    <t>кг</t>
  </si>
  <si>
    <t>44</t>
  </si>
  <si>
    <t>45</t>
  </si>
  <si>
    <t>46</t>
  </si>
  <si>
    <t>47</t>
  </si>
  <si>
    <t>П.М</t>
  </si>
  <si>
    <t>48</t>
  </si>
  <si>
    <t>10 м</t>
  </si>
  <si>
    <t>49</t>
  </si>
  <si>
    <t>49,1</t>
  </si>
  <si>
    <t>50</t>
  </si>
  <si>
    <t>51</t>
  </si>
  <si>
    <t>52</t>
  </si>
  <si>
    <t>108</t>
  </si>
  <si>
    <t>53</t>
  </si>
  <si>
    <t>53,1</t>
  </si>
  <si>
    <t>54</t>
  </si>
  <si>
    <t>55</t>
  </si>
  <si>
    <t>55,1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</si>
  <si>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</si>
  <si>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</si>
  <si>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</si>
  <si>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</si>
  <si>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</si>
  <si>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</si>
  <si>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</si>
  <si>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</si>
  <si>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</si>
  <si>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</si>
  <si>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</si>
  <si>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69</t>
  </si>
  <si>
    <t>71</t>
  </si>
  <si>
    <t>72</t>
  </si>
  <si>
    <t>100 м3</t>
  </si>
  <si>
    <t>*0,9=72%</t>
  </si>
  <si>
    <t>*0,85=38,25%</t>
  </si>
  <si>
    <t>38,25</t>
  </si>
  <si>
    <t>73</t>
  </si>
  <si>
    <t>74</t>
  </si>
  <si>
    <t>Песок природный для строительных: работ средний</t>
  </si>
  <si>
    <t>75</t>
  </si>
  <si>
    <t>Объем: 0,02=2/100</t>
  </si>
  <si>
    <t>75,1</t>
  </si>
  <si>
    <t>76</t>
  </si>
  <si>
    <t>77</t>
  </si>
  <si>
    <t>78</t>
  </si>
  <si>
    <t>79</t>
  </si>
  <si>
    <t>80</t>
  </si>
  <si>
    <t>83</t>
  </si>
  <si>
    <t>84</t>
  </si>
  <si>
    <t>85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</si>
  <si>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</si>
  <si>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</si>
  <si>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</si>
  <si>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</si>
  <si>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</si>
  <si>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</si>
  <si>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</si>
  <si>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</si>
  <si>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</si>
  <si>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</si>
  <si>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</si>
  <si>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</si>
  <si>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100</t>
  </si>
  <si>
    <t>101</t>
  </si>
  <si>
    <t>101,1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</si>
  <si>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</si>
  <si>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</si>
  <si>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</si>
  <si>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</si>
  <si>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</si>
  <si>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</si>
  <si>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</si>
  <si>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</si>
  <si>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</si>
  <si>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</si>
  <si>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1000 м2</t>
  </si>
  <si>
    <t>113</t>
  </si>
  <si>
    <t>114</t>
  </si>
  <si>
    <t>115</t>
  </si>
  <si>
    <t>116</t>
  </si>
  <si>
    <t>118</t>
  </si>
  <si>
    <t>119</t>
  </si>
  <si>
    <t>120</t>
  </si>
  <si>
    <t>121</t>
  </si>
  <si>
    <t>121,1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</si>
  <si>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</si>
  <si>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</si>
  <si>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</si>
  <si>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</si>
  <si>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</si>
  <si>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</si>
  <si>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</si>
  <si>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</si>
  <si>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</si>
  <si>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</si>
  <si>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</si>
  <si>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</si>
  <si>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</si>
  <si>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</si>
  <si>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</si>
  <si>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</si>
  <si>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</si>
  <si>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</si>
  <si>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</si>
  <si>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140,1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</si>
  <si>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</si>
  <si>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</si>
  <si>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</si>
  <si>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</si>
  <si>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</si>
  <si>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</si>
  <si>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</si>
  <si>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</si>
  <si>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</si>
  <si>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</si>
  <si>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</si>
  <si>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</si>
  <si>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</si>
  <si>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</si>
  <si>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</si>
  <si>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</si>
  <si>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</si>
  <si>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</si>
  <si>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</si>
  <si>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</si>
  <si>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</si>
  <si>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</si>
  <si>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</si>
  <si>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</si>
  <si>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164,2</t>
  </si>
  <si>
    <t>165</t>
  </si>
  <si>
    <t>166</t>
  </si>
  <si>
    <t>167</t>
  </si>
  <si>
    <t>168</t>
  </si>
  <si>
    <t>169</t>
  </si>
  <si>
    <t>170</t>
  </si>
  <si>
    <t>171</t>
  </si>
  <si>
    <t>Объем: 8=(4+4)</t>
  </si>
  <si>
    <t>172</t>
  </si>
  <si>
    <t xml:space="preserve">Составил    </t>
  </si>
  <si>
    <t>инженер</t>
  </si>
  <si>
    <t>Сергеева С.Н.</t>
  </si>
  <si>
    <t>[должность,подпись(инициалы,фамилия)]</t>
  </si>
  <si>
    <t xml:space="preserve">Проверил    </t>
  </si>
  <si>
    <t>ГИП</t>
  </si>
  <si>
    <t>Сергеева Е.М.</t>
  </si>
  <si>
    <t>Капитальный ремонт здания гаража (литера Л,Л1,Л2,Л3,Л4) по адресу: Чувашская Республика, Вурнарский р-н, пгт. Вурнары, ул.Ленина, д.59</t>
  </si>
  <si>
    <t>Локальная смета 02-01-02</t>
  </si>
  <si>
    <t>водопровод, канализация</t>
  </si>
  <si>
    <t>Основание: 1096-2020 В</t>
  </si>
  <si>
    <t>Строительные работы</t>
  </si>
  <si>
    <t>Монтажные работы</t>
  </si>
  <si>
    <t>Оборудование</t>
  </si>
  <si>
    <t>Локальная смета: Водопровод-хозяйственно-питьевой</t>
  </si>
  <si>
    <t>*0,9=115,2%</t>
  </si>
  <si>
    <t>115,2</t>
  </si>
  <si>
    <t>*0,85=70,55%</t>
  </si>
  <si>
    <t>70,55</t>
  </si>
  <si>
    <t>1,2</t>
  </si>
  <si>
    <t>Трубопроводы с гильзами</t>
  </si>
  <si>
    <t>Узлы трубопроводов укрупненные монтажные из стальных водогазопроводных оцинкованных труб диаметром 25 мм</t>
  </si>
  <si>
    <t>Объем: 0,16=16/100</t>
  </si>
  <si>
    <t>Трубы полипропиленовые ПП-Р, номинальное давление 1,0 МПа, номинальный наружный диаметр 25 мм</t>
  </si>
  <si>
    <t>Объем: 0,42=42/100</t>
  </si>
  <si>
    <t>Трубы полипропиленовые ПП-Р, номинальное давление 1,6 МПа, номинальный наружный диаметр 20 мм</t>
  </si>
  <si>
    <t>Кран шаровой 11Б27п1, номинальное давление 1,0 МПа (10 кгс/см2), номинальный диаметр 15 мм, присоединение к трубопроводу муфтовое</t>
  </si>
  <si>
    <t>Тройник полипропиленовый, диаметр 20 мм</t>
  </si>
  <si>
    <t>Тройник полипропиленовый, диаметр 25 мм</t>
  </si>
  <si>
    <t>Угольник полипропиленовый 45 град., диаметр 20 мм</t>
  </si>
  <si>
    <t>Муфта полипропиленовая переходная, номинальный наружный диаметр 25х20 мм</t>
  </si>
  <si>
    <t>Муфта полипропиленовая комбинированная, с внутренней резьбой, номинальный наружный диаметр 20 мм, размер резьбы 1/2"</t>
  </si>
  <si>
    <t>Муфта полипропиленовая комбинированная разъемная, с внутренней резьбой, номинальный наружный диаметр 20 мм, размер резьбы 1/2"</t>
  </si>
  <si>
    <t>*0,85=75,65%</t>
  </si>
  <si>
    <t>75,65</t>
  </si>
  <si>
    <t>100 отверстий</t>
  </si>
  <si>
    <t>Объем: 0,05=5/100</t>
  </si>
  <si>
    <t>Объем: 1,6=16/10</t>
  </si>
  <si>
    <t>*0,9=90%</t>
  </si>
  <si>
    <t>18,1</t>
  </si>
  <si>
    <t>Трубки из вспененного каучука, полиэтилена</t>
  </si>
  <si>
    <t>Трубки теплоизоляционные из вспененного полиэтилена типа THERMAFLEX FRZ толщиной: 9 мм, диаметром 28 мм</t>
  </si>
  <si>
    <t>Объем: 1,76=17,6/10</t>
  </si>
  <si>
    <t>Раздел: Трубопровод горячей воды</t>
  </si>
  <si>
    <t>Объем: 0,4=40/100</t>
  </si>
  <si>
    <t>Арматура трубопроводная фланцевая</t>
  </si>
  <si>
    <t>28,2</t>
  </si>
  <si>
    <t>Фланцы стальные</t>
  </si>
  <si>
    <t>Клапан обратный пружинный латунный, номинальное давление 2,5 МПа (25 кгс/см2), номинальный диаметр 15 мм</t>
  </si>
  <si>
    <t>Объем: 0,07=7/100</t>
  </si>
  <si>
    <t>Объем: 3,5=35/10</t>
  </si>
  <si>
    <t>32,1</t>
  </si>
  <si>
    <t>Трубки теплоизоляционные из вспененного полиэтилена типа THERMAFLEX FRZ толщиной: 9 мм, диаметром 22 мм</t>
  </si>
  <si>
    <t>Объем: 3,85=38,5/10</t>
  </si>
  <si>
    <t>Итого по разделу: Трубопровод горячей воды</t>
  </si>
  <si>
    <t>Раздел: Оборудование</t>
  </si>
  <si>
    <t>10 компл</t>
  </si>
  <si>
    <t>Объем: 0,7=7/10</t>
  </si>
  <si>
    <t>35,1</t>
  </si>
  <si>
    <t>Умывальники</t>
  </si>
  <si>
    <t>Смесители для умывальников СМ-УМ-ОРА с поворотным корпусом, одной рукояткой, с аэратором</t>
  </si>
  <si>
    <t>Пьедесталы под умывальники прямоугольные</t>
  </si>
  <si>
    <t>39,1</t>
  </si>
  <si>
    <t>Трубы полиэтиленовые</t>
  </si>
  <si>
    <t>Электроводонагреватели накопительные вертикальные, объем 10 л, мощность 2 кВт, размер 315х270х280 мм</t>
  </si>
  <si>
    <t>Итого по разделу: Оборудование</t>
  </si>
  <si>
    <t>Раздел: Канализация хозяйственно-бытовая</t>
  </si>
  <si>
    <t>Объем: 0,35=35/100</t>
  </si>
  <si>
    <t>Трубы безнапорные канализационные из полипропилена</t>
  </si>
  <si>
    <t>Трубы полипропиленовые для систем водоотведения, диаметр 50 мм</t>
  </si>
  <si>
    <t>Тройник полипропиленовый для систем водоотведения, диаметр 50 мм</t>
  </si>
  <si>
    <t>Объем: 13=(6+7)</t>
  </si>
  <si>
    <t>Отвод полипропиленовый 45°, для систем водоотведения, 50 мм</t>
  </si>
  <si>
    <t>Отвод полипропиленовый 87,5°, для систем водоотведения, диаметр 50 мм</t>
  </si>
  <si>
    <t>Муфта полипропиленовая переходная, номинальный наружный диаметр 110х75 мм</t>
  </si>
  <si>
    <t>48,1</t>
  </si>
  <si>
    <t>Клапаны воздушные полипропиленовые для невентилируемых канализационных стояков с резиновой мембраной, двойной изолированной стенкой, уменьшителем, защитной сеткой, диаметр 50, 75, 110 мм</t>
  </si>
  <si>
    <t>Объем: 0,09=9/100</t>
  </si>
  <si>
    <t>50,1</t>
  </si>
  <si>
    <t>Объем: 0,288=(16*1*1,8)/100</t>
  </si>
  <si>
    <t>10 м3</t>
  </si>
  <si>
    <t>Объем: 0,24=(16*1*0,15)/10</t>
  </si>
  <si>
    <t>Песок для строительных работ природный</t>
  </si>
  <si>
    <t>км</t>
  </si>
  <si>
    <t>Объем: 0,016=16/1000</t>
  </si>
  <si>
    <t>Объем: 0,264=(28,8-2,4)/100</t>
  </si>
  <si>
    <t>Итого по разделу: Канализация хозяйственно-бытовая</t>
  </si>
  <si>
    <t>Итого по локальной смете: Водопровод-хозяйственно-питьевой</t>
  </si>
  <si>
    <t>Локальная смета 02-01-03</t>
  </si>
  <si>
    <t>Электромонтажные работы</t>
  </si>
  <si>
    <t>Основание: 1096-2020 ИОС1</t>
  </si>
  <si>
    <t>Локальная смета: Электромонтажные работы</t>
  </si>
  <si>
    <t>Раздел: Электрощитовое оборудование</t>
  </si>
  <si>
    <t>Щиты с монтажной панелью ЩМП-1, размером 395x310x220 мм, степень защиты IP54</t>
  </si>
  <si>
    <t>Блок-контактор</t>
  </si>
  <si>
    <t>Объем: 44=(1+3+1+3+3+13+1+3+1+4+1+1+1+4+4)</t>
  </si>
  <si>
    <t>Выключатели автоматические: «IEK» ВА47-29 3Р 25А, характеристика С</t>
  </si>
  <si>
    <t>Выключатели автоматические: «IEK» ВА47-29 3Р 16А, характеристика С</t>
  </si>
  <si>
    <t>Объем: 6=(3+3)</t>
  </si>
  <si>
    <t>Выключатели автоматические: «IEK» ВА47-29 1Р 16А, характеристика С</t>
  </si>
  <si>
    <t>Объем: 5=(3+1+1)</t>
  </si>
  <si>
    <t>Выключатели автоматические: «IEK» ВА47-29 1Р 10А, характеристика С</t>
  </si>
  <si>
    <t>Расцепитель независимый РН47</t>
  </si>
  <si>
    <t>Объем: 0,1=1/10</t>
  </si>
  <si>
    <t>Профиль перфорированный монтажный длиной 2 м</t>
  </si>
  <si>
    <t>Объем: 0,032=(0,45*(4+3))/100</t>
  </si>
  <si>
    <t>Объем: 0,14=14/100</t>
  </si>
  <si>
    <t>Ящик с понижающим трансформатором</t>
  </si>
  <si>
    <t>Ящики, тип ЯТП-0.25, с трансформатором понижающим</t>
  </si>
  <si>
    <t>Итого по разделу: Электрощитовое оборудование</t>
  </si>
  <si>
    <t>Раздел: Электроустановочное оборудование</t>
  </si>
  <si>
    <t>Объем: 0,8=(43+13+24)/100</t>
  </si>
  <si>
    <t>Объем: 0,3=3/10</t>
  </si>
  <si>
    <t>Световые настенные указатели</t>
  </si>
  <si>
    <t>Объем: 0,08=8/100</t>
  </si>
  <si>
    <t>Светильники аварийного освещения с люминесцентными лампами, в комплекте с аккумуляторными батареями, потолочно-настенные, мощность 2x8 Вт, цоколь G5, IP20, размер 490x140x62 мм</t>
  </si>
  <si>
    <t>Объем: 0,13=13/100</t>
  </si>
  <si>
    <t>Выключатель одноклавишный для скрытой проводки</t>
  </si>
  <si>
    <t>Объем: 1,3=13/10</t>
  </si>
  <si>
    <t>Выключатель двухклавишный для скрытой проводки</t>
  </si>
  <si>
    <t>Объем: 0,8=8/10</t>
  </si>
  <si>
    <t>Объем: 0,31=31/100</t>
  </si>
  <si>
    <t>Объем: 0,04=4/100</t>
  </si>
  <si>
    <t>Коробка установочная У-92</t>
  </si>
  <si>
    <t>Коробка распределительная УК-2П</t>
  </si>
  <si>
    <t>Итого по разделу: Электроустановочное оборудование</t>
  </si>
  <si>
    <t>Раздел: Кабельно-проводниковые изделия</t>
  </si>
  <si>
    <t>Объем: 19,25=(10+845+410+540+120)/100</t>
  </si>
  <si>
    <t>Кабель силовой с медными жилами ВВГнг(A)-LS 5х4-660</t>
  </si>
  <si>
    <t>1000 м</t>
  </si>
  <si>
    <t>Объем: 0,01=(10*1,02)/1000</t>
  </si>
  <si>
    <t>Кабель силовой с медными жилами ВВГнг(A)-LS 3х2,5-660</t>
  </si>
  <si>
    <t>Объем: 0,862=845*1,02/1000</t>
  </si>
  <si>
    <t>Кабель силовой с медными жилами ВВГнг(A)-LS 3х1,5-660</t>
  </si>
  <si>
    <t>Объем: 0,418=(410*1,02)/1000</t>
  </si>
  <si>
    <t>Объем: 0,551=(540*1,02)/1000</t>
  </si>
  <si>
    <t>Кабель контрольный КВВГнг(A)-LS 5х1,5</t>
  </si>
  <si>
    <t>Объем: 0,122=(120*1,02)/1000</t>
  </si>
  <si>
    <t>Объем: 19,25=1925/100</t>
  </si>
  <si>
    <t>Объем: 0,15=15/100</t>
  </si>
  <si>
    <t>Трубы стальные электросварные прямошовные со снятой фаской из стали марок БСт2кп-БСт4кп и БСт2пс-БСт4пс, наружный диаметр 32 мм, толщина стенки 2,2 мм</t>
  </si>
  <si>
    <t>Кабель силовой с медными жилами ВВГнг(A)-LS 5х1,5-660</t>
  </si>
  <si>
    <t>Объем: 2,9=(110+180)/100</t>
  </si>
  <si>
    <t>Объем: 0,112=(110*1,02)/1000</t>
  </si>
  <si>
    <t>Кабель монтажный МКЭШ 2х0,75-500</t>
  </si>
  <si>
    <t>Объем: 0,184=180*1,02/1000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</si>
  <si>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</si>
  <si>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Объем: 2,9=290/100</t>
  </si>
  <si>
    <t>Трубы гибкие гофрированные из самозатухающего ПВХ легкие с протяжкой, диаметр 20 мм</t>
  </si>
  <si>
    <t>Объем: 295,8=290*1,02</t>
  </si>
  <si>
    <t>Держатель пластмассовый с защелкой для труб диаметром 25 мм</t>
  </si>
  <si>
    <t>Объем: 6=600/100</t>
  </si>
  <si>
    <t>Объем: 1,2=(60*2)/100</t>
  </si>
  <si>
    <t>Объем: 1,2=120/100</t>
  </si>
  <si>
    <t>Угол внешний изменяемый для кабель-канала 130x60 мм</t>
  </si>
  <si>
    <t>Объем: 0,06=6/100</t>
  </si>
  <si>
    <t>Объем: 0,6=60/100</t>
  </si>
  <si>
    <t>Объем: 1,35=135/100</t>
  </si>
  <si>
    <t>Кабель силовой с медными жилами ВВГнг(A)-LS 5х35-660</t>
  </si>
  <si>
    <t>Объем: 0,138=(135*1,02)/1000</t>
  </si>
  <si>
    <t>Объем: 4,1=410/100</t>
  </si>
  <si>
    <t>Объем: 2,25=225/100</t>
  </si>
  <si>
    <t>Объем: 0,23=(225*1,02)/1000</t>
  </si>
  <si>
    <t>Сталь полосовая: 45х5 мм, марка Ст3сп</t>
  </si>
  <si>
    <t>Объем: 0,071=1,77*40/1000</t>
  </si>
  <si>
    <t>Сталь угловая</t>
  </si>
  <si>
    <t>Объем: 0,03=3,77*8/1000</t>
  </si>
  <si>
    <t>Итого по разделу: Кабельно-проводниковые изделия</t>
  </si>
  <si>
    <t>Итого по локальной смете: Электромонтажные работы</t>
  </si>
  <si>
    <t>Локальная смета 02-01-04</t>
  </si>
  <si>
    <t>Пожарная безопасность</t>
  </si>
  <si>
    <t>Основание: 1096-2020 ПБ</t>
  </si>
  <si>
    <t>Локальная смета: Пожарная сигнализация</t>
  </si>
  <si>
    <t>10 лучей</t>
  </si>
  <si>
    <t>Прибор приемно-контрольный охранно-пожарный, марка: "Гранит-5"</t>
  </si>
  <si>
    <t>Батарея аккумуляторная, тип АКБ-17, 12В/ емкость 17 А/ч</t>
  </si>
  <si>
    <t>Реле, ключ, кнопка и др. с подготовкой места установки</t>
  </si>
  <si>
    <t>Извещатель пожарный тепловой: ИП-101-1А</t>
  </si>
  <si>
    <t>Объем: 3,2=32/10</t>
  </si>
  <si>
    <t>Извещатель пожарный ручной: ИП 535-7 прим к ИП535-8-А</t>
  </si>
  <si>
    <t>Объем: 0,6=6/10</t>
  </si>
  <si>
    <t>Устройство контроля шлейфа УКШ-1</t>
  </si>
  <si>
    <t>Резисторы металлические: СН-270Л-0,7,0,52,0,42,У3</t>
  </si>
  <si>
    <t>Раздел: Кабельная продукция</t>
  </si>
  <si>
    <t>Объем: 6,2=(310*2)/100</t>
  </si>
  <si>
    <t>Заглушка торцевая для кабель-канала 16x16 мм</t>
  </si>
  <si>
    <t>Объем: 0,2=20/100</t>
  </si>
  <si>
    <t>Кабель-канал (короб) 16х16 мм</t>
  </si>
  <si>
    <t>Угол внешний изменяемый для кабель-канала 16x16 мм</t>
  </si>
  <si>
    <t>Угол плоский для кабель-канала 16x16 мм</t>
  </si>
  <si>
    <t>Объем: 2=200/100</t>
  </si>
  <si>
    <t>Коробка коммутационная КС-4 (КРН 4/1Р)</t>
  </si>
  <si>
    <t>Объем: 4=(150+250)/100</t>
  </si>
  <si>
    <t>Объем: 0,153=(150*1,02)/1000</t>
  </si>
  <si>
    <t>Итого по разделу: Кабельная продукция</t>
  </si>
  <si>
    <t>Итого по локальной смете: Пожарная сигнализация</t>
  </si>
  <si>
    <t>Локальная смета 02-01-05</t>
  </si>
  <si>
    <t>Вентиляция, теплоснабжение калориферов</t>
  </si>
  <si>
    <t>Основание: 1096-2020 ОВ</t>
  </si>
  <si>
    <t>Локальная смета: Вентиляция, теплоснабжение калориферов</t>
  </si>
  <si>
    <t>Раздел: Вентсистема П1</t>
  </si>
  <si>
    <t>Установка приточно-вытяжная, производительность 2200 м3/ч прим. к CAU 3000/3-W VIM</t>
  </si>
  <si>
    <t>Прибор, устанавливаемый на резьбовых соединениях, масса до 1,5 кг</t>
  </si>
  <si>
    <t>Узел смесительный, циркуляционный насос 25 60, трехходовой клапан, пропускная способность 6,3 м3/ч, шаровой клапан, фильтр, гибкие трубки для регулирования теплопроизводительности тепловых нагревателей - прим к Смесительный узел с гибкими подводками MST 25-60-4.0-С24-F-ТС</t>
  </si>
  <si>
    <t>Заслонки унифицированные или клапаны</t>
  </si>
  <si>
    <t>Объем: 0,56=0,7*0,4*2</t>
  </si>
  <si>
    <t>7,1</t>
  </si>
  <si>
    <t>Вставки гибкие</t>
  </si>
  <si>
    <t>Вставки гибкие к канальным вентиляторам из оцинкованной стали с тканевой лентой, размер 500x300 мм</t>
  </si>
  <si>
    <t>Объем: 4=(1+1+1+1)*1</t>
  </si>
  <si>
    <t>Датчик температуры канальный ST-K1/PT1000, размером 65x235x50 мм</t>
  </si>
  <si>
    <t>Реле дифференциальные: DPS-500N</t>
  </si>
  <si>
    <t>шт.</t>
  </si>
  <si>
    <t>Щиты и пульты, масса до 50 кг</t>
  </si>
  <si>
    <t>Прайс №4</t>
  </si>
  <si>
    <t>Решетки жалюзийные</t>
  </si>
  <si>
    <t>Раствор готовый кладочный, цементный, М50</t>
  </si>
  <si>
    <t>Решетки вентиляционные наружные РН, из оцинкованной стали, размер 500х300 мм</t>
  </si>
  <si>
    <t>Объем: 0,022=(1,6+0,6)/100</t>
  </si>
  <si>
    <t>20,2</t>
  </si>
  <si>
    <t>Воздуховоды металлические</t>
  </si>
  <si>
    <t>Воздуховоды из оцинкованной стали с шиной и уголками толщиной: 0,7 мм, периметром 1600 мм</t>
  </si>
  <si>
    <t>Изделия фасонные для воздуховодов из оцинкованной стали с шиной и уголками, толщина 0,7 мм, периметр 1600 мм</t>
  </si>
  <si>
    <t>Объем: 0,314=(6+4,5+14+0,6+0,42+0,3+0,44*4+0,6+0,4*8)/100</t>
  </si>
  <si>
    <t>23,2</t>
  </si>
  <si>
    <t>Воздуховоды из оцинкованной стали с шиной и уголками толщиной: 0,55 мм, периметром 1200 мм</t>
  </si>
  <si>
    <t>Воздуховоды из оцинкованной стали с шиной и уголками толщиной: 0,55 мм, периметром 900 мм</t>
  </si>
  <si>
    <t>Воздуховоды из оцинкованной стали с шиной и уголками толщиной: 0,55 мм, периметром 700 мм</t>
  </si>
  <si>
    <t>Изделия фасонные для воздуховодов из оцинкованной стали с шиной и уголками, толщина 0,55 мм, периметр 1200 мм</t>
  </si>
  <si>
    <t>Объем: 1,62=(0,6+0,42+0,6)</t>
  </si>
  <si>
    <t>Изделия фасонные для воздуховодов из оцинкованной стали с шиной и уголками, толщина 0,55 мм, периметр 900 мм</t>
  </si>
  <si>
    <t>Изделия фасонные для воздуховодов из оцинкованной стали с шиной и уголками, толщина 0,55 мм, периметр 700 мм</t>
  </si>
  <si>
    <t>Объем: 4,96=(0,44*4+0,4*8)</t>
  </si>
  <si>
    <t>Крепления для воздуховодов оцинкованные (подвески СТД, подвески регулируемые СТД, тяги, хомуты, кронштейны, траверсы, ленты, шпильки, профили)</t>
  </si>
  <si>
    <t>Объем: 0,006=6/1000</t>
  </si>
  <si>
    <t>Итого по разделу: Вентсистема П1</t>
  </si>
  <si>
    <t>Раздел: Вентсистема П2</t>
  </si>
  <si>
    <t>Установка приточно-вытяжная, производительность 1160 м3/ч прим к CAU 2000/1-W VIM</t>
  </si>
  <si>
    <t>37,1</t>
  </si>
  <si>
    <t>46,1</t>
  </si>
  <si>
    <t>51,1</t>
  </si>
  <si>
    <t>Решетки вентиляционные наружные РН, из оцинкованной стали, размер 400х200 мм</t>
  </si>
  <si>
    <t>Объем: 0,238=(3,6+17,5+0,45+0,28+5*0,4)/100</t>
  </si>
  <si>
    <t>54,2</t>
  </si>
  <si>
    <t>Объем: 2,28=(0,28+5*0,4)</t>
  </si>
  <si>
    <t>Объем: 0,004=4/1000</t>
  </si>
  <si>
    <t>Итого по разделу: Вентсистема П2</t>
  </si>
  <si>
    <t>Раздел: Вентсистема П3</t>
  </si>
  <si>
    <t>Установка приточно-вытяжная, производительность 3100 м3/ч прим к CAU 4000/3-W VIM</t>
  </si>
  <si>
    <t>64,1</t>
  </si>
  <si>
    <t>66,1</t>
  </si>
  <si>
    <t>Объем: 0,095=(1,8+7+0,6+0,14)/100</t>
  </si>
  <si>
    <t>79,2</t>
  </si>
  <si>
    <t>Воздуховоды из оцинкованной стали с шиной и уголками толщиной: 0,7 мм, периметром 1400 мм</t>
  </si>
  <si>
    <t>Объем: 0,74=(0,6+0,14)</t>
  </si>
  <si>
    <t>Итого по разделу: Вентсистема П3</t>
  </si>
  <si>
    <t>Раздел: Вентсистема В1</t>
  </si>
  <si>
    <t>Вентиляторы канальные для прямоугольных воздуховодов OSTBERG марки: RK 600х300 F1, производительность 2700 м3/час прим к Вентилятор канальный RFD 600х300-4VIM</t>
  </si>
  <si>
    <t>Зонты стальные вентиляционных систем</t>
  </si>
  <si>
    <t>Зонты вентиляционных систем из листовой и сортовой стали, круглые, диаметр шахты 315 мм</t>
  </si>
  <si>
    <t>Объем: 0,248=(19,8+2*0,63+0,24+0,17+2*0,87+0,37+5*0,25)/100</t>
  </si>
  <si>
    <t>Воздуховоды из оцинкованной стали жесткие спиральнонавивные, толщина 0,55 мм, диаметр 315 мм</t>
  </si>
  <si>
    <t>Изделия фасонные для воздуховодов из оцинкованной стали с шиной и уголками, толщина 0,7 мм, периметр 1800 мм</t>
  </si>
  <si>
    <t>Объем: 1,26=2*0,63</t>
  </si>
  <si>
    <t>Объем: 3,94=(0,24+2*0,17+2*0,87+0,37+5*0,25)</t>
  </si>
  <si>
    <t>Прокладка воздуховодов из листовой, оцинкованной стали и алюминия класса Н (нормальные) толщиной 0,5 мм, диаметром до 200 мм</t>
  </si>
  <si>
    <t>Объем: 0,169=(9,4+7,5)/100</t>
  </si>
  <si>
    <t>Воздуховоды из оцинкованной стали жесткие спиральнонавивные, толщина 0,55 мм, диаметр 200 мм</t>
  </si>
  <si>
    <t>Воздуховоды из оцинкованной стали жесткие спиральнонавивные, толщина 0,55 мм, диаметр 160 мм</t>
  </si>
  <si>
    <t>Объем: 0,008=8/1000</t>
  </si>
  <si>
    <t>Итого по разделу: Вентсистема В1</t>
  </si>
  <si>
    <t>Раздел: Вентсистема В2</t>
  </si>
  <si>
    <t>Вентиляторы канальные "Systemair": для круглых воздуховодов K 160 М, производительность 488 м3/час прим к CFK 125 SHUFT</t>
  </si>
  <si>
    <t>Зонты вентиляционных систем из листовой и сортовой стали, круглые, диаметр шахты 200 мм</t>
  </si>
  <si>
    <t>Клапаны обратные</t>
  </si>
  <si>
    <t>Клапаны обратные "Systemair" RSK диаметром: 125 мм</t>
  </si>
  <si>
    <t>Клапаны огнезадерживающие</t>
  </si>
  <si>
    <t>Клапаны противопожарные с пружинным приводом в комбинации с тепловым замком, тип КПС-1 (60), размер 300x300 мм прим к  КПС-1-НО 400х200</t>
  </si>
  <si>
    <t>Объем: 0,028=(1,2+0,7+0,25+0,6)/100</t>
  </si>
  <si>
    <t>Объем: 0,25=(0,21+0,04)</t>
  </si>
  <si>
    <t>Изделия фасонные для воздуховодов из оцинкованной стали с шиной и уголками, толщина 0,55 мм, периметр 500 мм</t>
  </si>
  <si>
    <t>Объем: 0,6=2*0,3</t>
  </si>
  <si>
    <t>Воздуховоды из оцинкованной стали жесткие спиральнонавивные, толщина 0,55 мм, диаметр 125 мм</t>
  </si>
  <si>
    <t>Объем: 0,001=1/1000</t>
  </si>
  <si>
    <t>Итого по разделу: Вентсистема В2</t>
  </si>
  <si>
    <t>Раздел: Вентсистема В3</t>
  </si>
  <si>
    <t>Итого по разделу: Вентсистема В3</t>
  </si>
  <si>
    <t>Раздел: Вентсистема В4</t>
  </si>
  <si>
    <t>Вентиляторы канальные "Systemair": для круглых воздуховодов шумоизолированные KVO 250, производительность 1502 м3/час прим к CFK 250 SHUFT</t>
  </si>
  <si>
    <t>Зонты вентиляционных систем из листовой и сортовой стали, круглые, диаметр шахты 250 мм</t>
  </si>
  <si>
    <t>Объем: 1,41=(0,35+2*0,5+0,06)</t>
  </si>
  <si>
    <t>Объем: 0,039=3,9/100</t>
  </si>
  <si>
    <t>Воздуховоды из оцинкованной стали жесткие спиральнонавивные, толщина 0,55 мм, диаметр 250 мм</t>
  </si>
  <si>
    <t>Итого по разделу: Вентсистема В4</t>
  </si>
  <si>
    <t>Раздел: Вентсистемы ВМ1, ВМ2, ВМ3</t>
  </si>
  <si>
    <t>Объем: 0,213=(16,8+4,5)/100</t>
  </si>
  <si>
    <t>Воздуховоды из оцинкованной стали с шиной и уголками толщиной: 0,55 мм, периметром 800 мм</t>
  </si>
  <si>
    <t>Изделия фасонные для воздуховодов из оцинкованной стали с шиной и уголками, толщина 0,55 мм, периметр 800 мм</t>
  </si>
  <si>
    <t>Объем: 4,5=9*0,5</t>
  </si>
  <si>
    <t>Зонты вентиляционных систем из листовой оцинкованной стали, прямоугольные, периметр шахты 800 мм</t>
  </si>
  <si>
    <t>Разборка воздуховодов из листовой стали толщиной до 0,9 мм диаметром/периметром до 320 мм /1000 мм</t>
  </si>
  <si>
    <t>Объем: 0,056=5,6/100</t>
  </si>
  <si>
    <t>Итого по разделу: Вентсистемы ВМ1, ВМ2, ВМ3</t>
  </si>
  <si>
    <t>Раздел: Вентсистемы ВЕ1, ВЕ2</t>
  </si>
  <si>
    <t>Дефлекторы</t>
  </si>
  <si>
    <t>Дефлекторы вытяжные цилиндрические, тип ЦАГИ № 3, диаметр патрубка 280 мм</t>
  </si>
  <si>
    <t>Воздуховоды из листовой стали толщиной 0,5 мм, диаметр до 200 мм</t>
  </si>
  <si>
    <t>Объем: 2,28=2*0,21+2*0,56+2*0,37</t>
  </si>
  <si>
    <t>Объем: 0,079=7,9/100</t>
  </si>
  <si>
    <t>155,1</t>
  </si>
  <si>
    <t>Итого по разделу: Вентсистемы ВЕ1, ВЕ2</t>
  </si>
  <si>
    <t>Раздел: Теплоснабжение калорифера П1 (внутренние сети)</t>
  </si>
  <si>
    <t>Трубопроводы из стальных электросварных труб с гильзами для отопления и водоснабжения, наружный диаметр 57 мм, толщина стенки 3,5 мм</t>
  </si>
  <si>
    <t>Объем: 0,3=30/100</t>
  </si>
  <si>
    <t>Узлы трубопроводов укрупненные монтажные из стальных водогазопроводных неоцинкованных труб с гильзами для систем отопления, диаметр условного прохода 40 мм</t>
  </si>
  <si>
    <t>Узлы трубопроводов укрупненные монтажные из стальных водогазопроводных оцинкованных труб диаметром 32 мм</t>
  </si>
  <si>
    <t>Объем: 0,5=50/100</t>
  </si>
  <si>
    <t>Узлы укрупненные монтажные (трубопроводы) из стальных водогазопроводных неоцинкованных труб с гильзами для систем отопления диаметром 25 мм</t>
  </si>
  <si>
    <t>Объем: 6=(4+2)</t>
  </si>
  <si>
    <t>Воздухоотводчики</t>
  </si>
  <si>
    <t>Кран латунный для спуска воздуха</t>
  </si>
  <si>
    <t>173</t>
  </si>
  <si>
    <t>174</t>
  </si>
  <si>
    <t>175</t>
  </si>
  <si>
    <t>176</t>
  </si>
  <si>
    <t>Объем: 0,78=(3,14*(0,05+0,04)*0,04*8+3,14*(0,04+0,04)*0,04*30+3,14*(0,032+0,03)*0,03*35+3,14*(0,025+0,03)*0,03*35)</t>
  </si>
  <si>
    <t>Конструкции из цилиндров минераловатных на синтетическом связующем</t>
  </si>
  <si>
    <t>177</t>
  </si>
  <si>
    <t>Цилиндры теплоизоляционные минераловатные М-100, на синтетическом связующем, кашированные алюминиевой фольгой, диаметр 57 мм, толщина 40 мм</t>
  </si>
  <si>
    <t>178</t>
  </si>
  <si>
    <t>Цилиндры теплоизоляционные минераловатные М-100, на синтетическом связующем, кашированные алюминиевой фольгой, диаметр 42 мм, толщина 40 мм</t>
  </si>
  <si>
    <t>179</t>
  </si>
  <si>
    <t>Цилиндры теплоизоляционные минераловатные М-100, на синтетическом связующем, кашированные алюминиевой фольгой, диаметр 32 мм, толщина 30 мм</t>
  </si>
  <si>
    <t>180</t>
  </si>
  <si>
    <t>Цилиндры теплоизоляционные минераловатные М-100, на синтетическом связующем, кашированные алюминиевой фольгой, диаметр 25 мм, толщина 30 мм</t>
  </si>
  <si>
    <t>181</t>
  </si>
  <si>
    <t>Объем: 0,044=(1,234*12+0,915*17+0,7*20)/1000</t>
  </si>
  <si>
    <t>182</t>
  </si>
  <si>
    <t>Опоры скользящие и катковые, крепежные детали, хомуты</t>
  </si>
  <si>
    <t>183</t>
  </si>
  <si>
    <t>Объем: 1,23=(8+30+35+50)/100</t>
  </si>
  <si>
    <t>Итого по разделу: Теплоснабжение калорифера П1 (внутренние сети)</t>
  </si>
  <si>
    <t>Раздел: Теплоснабжение калорифера П1 (наружные сети)</t>
  </si>
  <si>
    <t>184</t>
  </si>
  <si>
    <t>Объем: 0,75=150*1*0,5/100</t>
  </si>
  <si>
    <t>185</t>
  </si>
  <si>
    <t>Объем: 0,75=150*0,1*0,5/10</t>
  </si>
  <si>
    <t>186</t>
  </si>
  <si>
    <t>187</t>
  </si>
  <si>
    <t>Объем: 1,5=150/100</t>
  </si>
  <si>
    <t>188</t>
  </si>
  <si>
    <t>189</t>
  </si>
  <si>
    <t>Отвод полиэтиленовый удлиненный 90°, номинальный внутренний диаметр 63 мм прим к Отвод Изопрофлекс 90-63/110</t>
  </si>
  <si>
    <t>190</t>
  </si>
  <si>
    <t>191</t>
  </si>
  <si>
    <t>Объем: 0,057=(1,19*45+10*0,33)/1000</t>
  </si>
  <si>
    <t>192</t>
  </si>
  <si>
    <t>Объем: 0,054=1,19*45/1000</t>
  </si>
  <si>
    <t>193</t>
  </si>
  <si>
    <t>Опоры неподвижные из горячекатаных профилей для трубопроводов</t>
  </si>
  <si>
    <t>Объем: 0,003=10*0,33/1000</t>
  </si>
  <si>
    <t>194</t>
  </si>
  <si>
    <t>Объем: 0,145=(22-7,5)/100</t>
  </si>
  <si>
    <t>195</t>
  </si>
  <si>
    <t>Объем: 15,95=14,5*1,1</t>
  </si>
  <si>
    <t>196</t>
  </si>
  <si>
    <t>Объем: 0,1=10/100</t>
  </si>
  <si>
    <t>197</t>
  </si>
  <si>
    <t>Объем: 0,01=1/100</t>
  </si>
  <si>
    <t>198</t>
  </si>
  <si>
    <t>Мастика</t>
  </si>
  <si>
    <t>199</t>
  </si>
  <si>
    <t>Мастика битумная</t>
  </si>
  <si>
    <t>Итого по разделу: Теплоснабжение калорифера П1 (наружные сети)</t>
  </si>
  <si>
    <t>Итого по локальной смете: Вентиляция, теплоснабжение калориферов</t>
  </si>
  <si>
    <t>Форма № 3</t>
  </si>
  <si>
    <t>ОБЪЕКТНЫЙ СМЕТНЫЙ РАСЧЕТ № 02-01</t>
  </si>
  <si>
    <t>(объектная смета)</t>
  </si>
  <si>
    <t>(наименование объекта)</t>
  </si>
  <si>
    <t>Сметная стоимость составляет</t>
  </si>
  <si>
    <t>тыс. руб.</t>
  </si>
  <si>
    <t>Средства на оплату труда  руб.</t>
  </si>
  <si>
    <t>Расчетный измеритель единичной стоимости</t>
  </si>
  <si>
    <t>№ пп</t>
  </si>
  <si>
    <t>Номера сметных расчетов (смет)</t>
  </si>
  <si>
    <t>Сметная стоимость, руб.</t>
  </si>
  <si>
    <t>Средства на оплату труда, руб.</t>
  </si>
  <si>
    <t>Показатели единичной стоимости</t>
  </si>
  <si>
    <t>строительных работ</t>
  </si>
  <si>
    <t>монтажных работ</t>
  </si>
  <si>
    <t>оборудования, мебели, инвентаря</t>
  </si>
  <si>
    <t>прочих</t>
  </si>
  <si>
    <t>Локальные сметные расчеты</t>
  </si>
  <si>
    <t>02-01-01</t>
  </si>
  <si>
    <t>Общестроительные работы</t>
  </si>
  <si>
    <t>02-01-02</t>
  </si>
  <si>
    <t>Водопровод, канализация</t>
  </si>
  <si>
    <t>02-01-03</t>
  </si>
  <si>
    <t>02-01-04</t>
  </si>
  <si>
    <t>02-01-05</t>
  </si>
  <si>
    <t>Всего по объектной смете</t>
  </si>
  <si>
    <t>02-01-10</t>
  </si>
  <si>
    <t>Пожарная сигнализация</t>
  </si>
  <si>
    <t>02-01-11</t>
  </si>
  <si>
    <t>02-01-12</t>
  </si>
  <si>
    <t>02-01-13</t>
  </si>
  <si>
    <t>02-01-14</t>
  </si>
  <si>
    <t>02-01-07</t>
  </si>
  <si>
    <t>Технологическое оборудование</t>
  </si>
  <si>
    <t>Директор: ___________________________Е.М.Сергеева</t>
  </si>
  <si>
    <t>(должность, подпись, расшифровка)</t>
  </si>
  <si>
    <t>ГИП: ___________________________Е.М.Сергеева</t>
  </si>
  <si>
    <t>инженер- сметчик: ______________________С.Н. Сергеева</t>
  </si>
  <si>
    <t>Составлен(а) в ценах по состоянию на _______201_ г.</t>
  </si>
  <si>
    <t>2001 г.</t>
  </si>
  <si>
    <t>Форма № 1</t>
  </si>
  <si>
    <t xml:space="preserve">Заказчик </t>
  </si>
  <si>
    <t>Вурнарский сельскохозяйственный техникум Минобразования Чувашии</t>
  </si>
  <si>
    <t>(наименование организации)</t>
  </si>
  <si>
    <t>"Утвержден" «    »________________2020 г.</t>
  </si>
  <si>
    <t>Сводный сметный расчет в ценах на 2000 год</t>
  </si>
  <si>
    <t>тыс.руб.</t>
  </si>
  <si>
    <t>СВОДНЫЙ СМЕТНЫЙ РАСЧЕТ СТОИМОСТИ СТРОИТЕЛЬСТВА</t>
  </si>
  <si>
    <t>(наименование стройки)</t>
  </si>
  <si>
    <t>Составлена в ценах по состоянию на 2000 год</t>
  </si>
  <si>
    <t>Номера сметных расчетов и смет</t>
  </si>
  <si>
    <t>Наименование глав, объектов, работ и затрат</t>
  </si>
  <si>
    <t>Общая сметная стоимость
тыс.руб.</t>
  </si>
  <si>
    <t>Глава 2. Основные объекты строительства.</t>
  </si>
  <si>
    <t>ОС №02-01</t>
  </si>
  <si>
    <t>Капитальный ремонт здания гаража (литера Л,Л1,Л2,Л3,Л4) под размещение мастерских профессиональной подготовки по адресу: Чувашская Республика, Вурнарский р-н, пгт. Вурнары, ул.Ленина, д.59</t>
  </si>
  <si>
    <t>Итого по Главе 2. "Основные объекты строительства"</t>
  </si>
  <si>
    <t>Глава 4. Объекты энергетического хозяйства.</t>
  </si>
  <si>
    <t>04-01</t>
  </si>
  <si>
    <t>Наружное электроснабжение</t>
  </si>
  <si>
    <t>Итого по Главе 4. "Объекты энергетического хозяйства"</t>
  </si>
  <si>
    <t>Глава 6. Наружные сети и сооружения водопровода, канализации, теплоснабжения и газоснабжения.</t>
  </si>
  <si>
    <t>06-01</t>
  </si>
  <si>
    <t>Наружные сети водопровода</t>
  </si>
  <si>
    <t>06-02</t>
  </si>
  <si>
    <t>Наружные тепловые сети</t>
  </si>
  <si>
    <t>Итого по Главе 6. "Наружные сети и сооружения водопровода, канализации, теплоснабжения и газоснабжения"</t>
  </si>
  <si>
    <t>Глава 9. Прочие работы и затраты</t>
  </si>
  <si>
    <t>Итого по Главе 9. Прочие работы и затраты</t>
  </si>
  <si>
    <t>Итого по Главам 1-9</t>
  </si>
  <si>
    <t>Глава 10. Содержание службы заказчика-застройщика (технического надзора)</t>
  </si>
  <si>
    <t>постановление от 21.06.2010г. №468</t>
  </si>
  <si>
    <t>Строительный контроль - 2,14%</t>
  </si>
  <si>
    <t>Итого по Главе 10. "Содержание службы заказчика-застройщика (технического надзора)"</t>
  </si>
  <si>
    <t>Итого по Главам 1-10</t>
  </si>
  <si>
    <t>Глава 9. Публичный технологический и ценовой аудит, проектные и изыскательские работы</t>
  </si>
  <si>
    <t>Договор</t>
  </si>
  <si>
    <t>Разработка сметной документации</t>
  </si>
  <si>
    <t>Итого по Главе 9. "Публичный технологический и ценовой аудит, проектные и изыскательские работы"</t>
  </si>
  <si>
    <t>Непредвиденные затраты</t>
  </si>
  <si>
    <t>МДС 81-35.2004 п.4.96</t>
  </si>
  <si>
    <t>Непредвиденные затраты - 2%</t>
  </si>
  <si>
    <t>Итого с непредвиденными затратами</t>
  </si>
  <si>
    <t>Налоги и обязательные платежи</t>
  </si>
  <si>
    <t>МДС 81-35.2004 п.4.100</t>
  </si>
  <si>
    <t>НДС - 20%</t>
  </si>
  <si>
    <t>Всего по сводному расчету</t>
  </si>
  <si>
    <t>Составил:</t>
  </si>
  <si>
    <t>С.Н. Сергеева</t>
  </si>
  <si>
    <t>[подпись (инициалы, фамилия)]</t>
  </si>
  <si>
    <t>Проверил:</t>
  </si>
  <si>
    <t>Е.М. Сергеева</t>
  </si>
  <si>
    <t>Заказчик:</t>
  </si>
  <si>
    <t>Директор</t>
  </si>
  <si>
    <t>О.В. Львова</t>
  </si>
  <si>
    <t>[должность, подпись (инициалы, фамилия)]</t>
  </si>
  <si>
    <t>_PS_</t>
  </si>
  <si>
    <t>Smeta.RU</t>
  </si>
  <si>
    <t>1077-2020 Аксаринская начальная школа детский-сад</t>
  </si>
  <si>
    <t>Осокин А.А.</t>
  </si>
  <si>
    <t>директор</t>
  </si>
  <si>
    <t>МБОУ «СОШ №19» г. Новочебоксарска</t>
  </si>
  <si>
    <t>Сметные нормы списания</t>
  </si>
  <si>
    <t>Коды ценников</t>
  </si>
  <si>
    <t>Чувашская Республика (редакция 2014). Ресурсный способ расчёта</t>
  </si>
  <si>
    <t>ТР для Версии 10: Центральные регионы (с уч. п-ма 2536-ИП/12/ГС от 27.11.12, 01/57049-ЮЛ от 27.04.2018) от 14.03.2019 г</t>
  </si>
  <si>
    <t>Чувашская Республика (редакция 2014)</t>
  </si>
  <si>
    <t>Поправки  для НБ 2014 года от 28.04.2017</t>
  </si>
  <si>
    <t>Замена оконных блоков</t>
  </si>
  <si>
    <t>56-1-1</t>
  </si>
  <si>
    <t>100 КОРОБОК</t>
  </si>
  <si>
    <t>ТЕРр Чувашская республика (редакция 2014), 56-1-1, Приказ Минстроя России от 05.05.2015 № 337/пр</t>
  </si>
  <si>
    <t>Ремонтно-строительные работы</t>
  </si>
  <si>
    <t>рФЕР-56</t>
  </si>
  <si>
    <t>56-2-2</t>
  </si>
  <si>
    <t>100 М2 ОКОННЫХ ПЕРЕПЛЕТОВ</t>
  </si>
  <si>
    <t>ТЕРр Чувашская республика (редакция 2014), 56-2-2, Приказ Минстроя России от 05.05.2015 № 337/пр</t>
  </si>
  <si>
    <t>56-3-1</t>
  </si>
  <si>
    <t>Снятие подоконных досок бетонных и мозаичных</t>
  </si>
  <si>
    <t>ТЕРр Чувашская республика (редакция 2014), 56-3-1, Приказ Минстроя России от 05.05.2015 № 337/пр</t>
  </si>
  <si>
    <t>58-3-1</t>
  </si>
  <si>
    <t>Разборка мелких покрытий и обделок из листовой стали поясков, сандриков, желобов, отливов, свесов и т.п.</t>
  </si>
  <si>
    <t>100 М ТРУБ И ПОКРЫТИЙ</t>
  </si>
  <si>
    <t>ТЕРр Чувашская республика (редакция 2014), 58-3-1, Приказ Минстроя России от 05.05.2015 № 337/пр</t>
  </si>
  <si>
    <t>рФЕР-58</t>
  </si>
  <si>
    <t>10-01-034-8</t>
  </si>
  <si>
    <t>Установка в жилых и общественных зданиях оконных блоков из ПВХ профилей поворотных (откидных, поворотно-откидных) с площадью проема более 2 м2 трехстворчатых, в том числе при наличии створок глухого остекления</t>
  </si>
  <si>
    <t>100 М2 ПРОЕМОВ</t>
  </si>
  <si>
    <t>ТЕР Чувашская республика (редакция 2014), 10-01-034-8, Приказ Минстроя России от 05.05.2015 № 337/пр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</si>
  <si>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</si>
  <si>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)*1,25</t>
  </si>
  <si>
    <t>)*1,15</t>
  </si>
  <si>
    <t>ФЕР-10</t>
  </si>
  <si>
    <t>Поправка: МДС 81-35.2004, п.4.7</t>
  </si>
  <si>
    <t>203-1040</t>
  </si>
  <si>
    <t>Блок оконный пластиковый трехстворчатый, с поворотной и поворотно-откидной створкой, двухкамерным стеклопакетом (32 мм), площадью более 3,5 м2</t>
  </si>
  <si>
    <t>ТССЦ Чувашская республика (редакция 2014), 203-1040, Приказ Минстроя России от 05.05.2015 № 337/пр</t>
  </si>
  <si>
    <t>Материалы строительные</t>
  </si>
  <si>
    <t>ФССЦст</t>
  </si>
  <si>
    <t>203-1038</t>
  </si>
  <si>
    <t>Блок оконный пластиковый трехстворчатый, с поворотной и поворотно-откидной створкой, двухкамерным стеклопакетом (32 мм), площадью до 3 м2</t>
  </si>
  <si>
    <t>ТССЦ Чувашская республика (редакция 2014), 203-1038, Приказ Минстроя России от 05.05.2015 № 337/пр</t>
  </si>
  <si>
    <t>203-1037</t>
  </si>
  <si>
    <t>Блок оконный пластиковый трехстворчатый, с поворотной и поворотно-откидной створкой, двухкамерным стеклопакетом (32 мм), площадью до 2,5 м2</t>
  </si>
  <si>
    <t>ТССЦ Чувашская республика (редакция 2014), 203-1037, Приказ Минстроя России от 05.05.2015 № 337/пр</t>
  </si>
  <si>
    <t>10-01-029-2</t>
  </si>
  <si>
    <t>Установка приборов оконных</t>
  </si>
  <si>
    <t>100 компл.</t>
  </si>
  <si>
    <t>ТЕР Чувашская республика (редакция 2014), 10-01-029-2, Приказ Минстроя России от 05.05.2015 № 337/пр</t>
  </si>
  <si>
    <t>101-0955</t>
  </si>
  <si>
    <t>Упор оконный стальной</t>
  </si>
  <si>
    <t>компл.</t>
  </si>
  <si>
    <t>ТССЦ Чувашская республика (редакция 2014), 101-0955, Приказ Минстроя России от 05.05.2015 № 337/пр</t>
  </si>
  <si>
    <t>10-01-035-2</t>
  </si>
  <si>
    <t>Установка подоконных досок из ПВХ в панельных стенах</t>
  </si>
  <si>
    <t>100 п. м</t>
  </si>
  <si>
    <t>ТЕР Чувашская республика (редакция 2014), 10-01-035-2, Приказ Минстроя России от 05.05.2015 № 337/пр</t>
  </si>
  <si>
    <t>Поправка: МР 81/пр Табл.2, п.2  Поправка: МДС 81-35.2004, п.4.7</t>
  </si>
  <si>
    <t>101-2912</t>
  </si>
  <si>
    <t>Доски подоконные ПВХ, шириной 550 мм</t>
  </si>
  <si>
    <t>ТССЦ Чувашская республика (редакция 2014), 101-2912, Приказ Минстроя России от 05.05.2015 № 337/пр</t>
  </si>
  <si>
    <t>15-01-050-4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</si>
  <si>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</si>
  <si>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100 М2 ОБЛИЦОВКИ</t>
  </si>
  <si>
    <t>ТЕР Чувашская республика (редакция 2014), 15-01-050-4, Приказ Минстроя России от 05.05.2015 № 337/пр</t>
  </si>
  <si>
    <t>ФЕР-15</t>
  </si>
  <si>
    <t>101-6871</t>
  </si>
  <si>
    <t>Сэндвич-панели для откосов (наружные слои – листы из поливинилхлорида, внутреннее наполнение – вспененный пенополистирол) белые, ширина 1,5 м, длина 3,0 м, толщина 10 мм</t>
  </si>
  <si>
    <t>ТССЦ Чувашская республика (редакция 2014), 101-6871, Приказ Минстроя России от 05.05.2015 № 337/пр</t>
  </si>
  <si>
    <t>101-5290</t>
  </si>
  <si>
    <t>Сетка противомоскитная стационарная, цвет белый</t>
  </si>
  <si>
    <t>ТССЦ Чувашская республика (редакция 2014), 101-5290, Приказ Минстроя России от 05.05.2015 № 337/пр</t>
  </si>
  <si>
    <t>10-01-036-1</t>
  </si>
  <si>
    <t>Установка уголков ПВХ на клее</t>
  </si>
  <si>
    <t>ТЕР Чувашская республика (редакция 2014), 10-01-036-1, Приказ Минстроя России от 05.05.2015 № 337/пр</t>
  </si>
  <si>
    <t>12-01-010-1</t>
  </si>
  <si>
    <t>Устройство мелких покрытий (брандмауэры, парапеты, свесы и т.п.) из листовой оцинкованной стали</t>
  </si>
  <si>
    <t>100 м2 покрытия</t>
  </si>
  <si>
    <t>ТЕР Чувашская республика (редакция 2014), 12-01-010-1, Приказ Минстроя России от 05.05.2015 № 337/пр</t>
  </si>
  <si>
    <t>ФЕР-12</t>
  </si>
  <si>
    <t>101-2411</t>
  </si>
  <si>
    <t>Водоотлив оконный шириной планки 250 мм из оцинкованной стали с полимерным покрытием</t>
  </si>
  <si>
    <t>ТССЦ Чувашская республика (редакция 2014), 101-2411, Приказ Минстроя России от 05.05.2015 № 337/пр</t>
  </si>
  <si>
    <t>т01-01-001-41</t>
  </si>
  <si>
    <t>Погрузка при автомобильных перевозках мусора строительного с погрузкой вручную</t>
  </si>
  <si>
    <t>ТССЦпг Чувашская республика (редакция 2014), т01-01-001-41, Приказ Минстроя России от 05.05.2015 № 337/пр</t>
  </si>
  <si>
    <t>ФССЦпр  пог. а/п (2011,изм. 4-6)</t>
  </si>
  <si>
    <t>т03-21-001-38</t>
  </si>
  <si>
    <t>Перевозка грузов I класса автомобилями-самосвалами грузоподъемностью 10 т работающих вне карьера на расстояние до 38 км</t>
  </si>
  <si>
    <t>ТССЦпг Чувашская республика (редакция 2014), т03-21-001-38, Приказ Минстроя России от 05.05.2015 № 337/пр</t>
  </si>
  <si>
    <t>Перевозка грузов авто/транспортом</t>
  </si>
  <si>
    <t>ФССЦ а/п (2003/2011 изм. 4-6)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</si>
  <si>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</si>
  <si>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</si>
  <si>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</si>
  <si>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</si>
  <si>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</si>
  <si>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</si>
  <si>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</si>
  <si>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</si>
  <si>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</si>
  <si>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</si>
  <si>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</si>
  <si>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</si>
  <si>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</si>
  <si>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</si>
  <si>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</si>
  <si>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</si>
  <si>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</si>
  <si>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</si>
  <si>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</si>
  <si>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</si>
  <si>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</si>
  <si>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</si>
  <si>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</si>
  <si>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</si>
  <si>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</si>
  <si>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</si>
  <si>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</si>
  <si>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</si>
  <si>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</si>
  <si>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</si>
  <si>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</si>
  <si>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</si>
  <si>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</si>
  <si>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</si>
  <si>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</si>
  <si>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</si>
  <si>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</si>
  <si>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</si>
  <si>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</si>
  <si>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</si>
  <si>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</si>
  <si>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</si>
  <si>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</si>
  <si>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</si>
  <si>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</si>
  <si>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</si>
  <si>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Накладные расходы</t>
  </si>
  <si>
    <t>СмПриб</t>
  </si>
  <si>
    <t>Сметная прибыль</t>
  </si>
  <si>
    <t>Всего с НР и СП</t>
  </si>
  <si>
    <t>Стоимость материалов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</si>
  <si>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</si>
  <si>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</si>
  <si>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</si>
  <si>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</si>
  <si>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</si>
  <si>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</si>
  <si>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</si>
  <si>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</si>
  <si>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</si>
  <si>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</si>
  <si>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</si>
  <si>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</si>
  <si>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</si>
  <si>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</si>
  <si>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</si>
  <si>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</si>
  <si>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</si>
  <si>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</si>
  <si>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</si>
  <si>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</si>
  <si>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</si>
  <si>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</si>
  <si>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</si>
  <si>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</si>
  <si>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</si>
  <si>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</si>
  <si>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</si>
  <si>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</si>
  <si>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</si>
  <si>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</si>
  <si>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</si>
  <si>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</si>
  <si>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</si>
  <si>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</si>
  <si>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</si>
  <si>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</si>
  <si>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</si>
  <si>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</si>
  <si>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</si>
  <si>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</si>
  <si>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</si>
  <si>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</si>
  <si>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</si>
  <si>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</si>
  <si>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</si>
  <si>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</si>
  <si>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</si>
  <si>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</si>
  <si>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</si>
  <si>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</si>
  <si>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</si>
  <si>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</si>
  <si>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</si>
  <si>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</si>
  <si>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</si>
  <si>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</si>
  <si>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</si>
  <si>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</si>
  <si>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</si>
  <si>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</si>
  <si>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</si>
  <si>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Текущий уровень цен</t>
  </si>
  <si>
    <t>Вид цен</t>
  </si>
  <si>
    <t>ССЦ Чувашской Республики (редакция 2014 г) на 4-й кв 2019 г</t>
  </si>
  <si>
    <t>базовый</t>
  </si>
  <si>
    <t>_OBSM_</t>
  </si>
  <si>
    <t>1-1025-21</t>
  </si>
  <si>
    <t>Рабочий строитель среднего разряда 2,5</t>
  </si>
  <si>
    <t>Затраты труда машинистов</t>
  </si>
  <si>
    <t>чел.час</t>
  </si>
  <si>
    <t>030954</t>
  </si>
  <si>
    <t>ТСЭМ Чувашская республика (редакция 2014), 030954, Приказ Минстроя России от 05.05.2015 № 337/пр</t>
  </si>
  <si>
    <t>Подъемники грузоподъемностью до 500 кг одномачтовые, высота подъема 45 м</t>
  </si>
  <si>
    <t>маш.-ч</t>
  </si>
  <si>
    <t>050101</t>
  </si>
  <si>
    <t>ТСЭМ Чувашская республика (редакция 2014), 050101, Приказ Минстроя России от 05.05.2015 № 337/пр</t>
  </si>
  <si>
    <t>Компрессоры передвижные с двигателем внутреннего сгорания давлением до 686 кПа (7 ат), производительность  до 5 м3/мин</t>
  </si>
  <si>
    <t>330804</t>
  </si>
  <si>
    <t>ТСЭМ Чувашская республика (редакция 2014), 330804, Приказ Минстроя России от 05.05.2015 № 337/пр</t>
  </si>
  <si>
    <t>Молотки при работе от передвижных компрессорных станций отбойные пневматические</t>
  </si>
  <si>
    <t>509-9900</t>
  </si>
  <si>
    <t>ТССЦ Чувашская республика (редакция 2014), 509-9900, Приказ Минстроя России от 05.05.2015 № 337/пр</t>
  </si>
  <si>
    <t>1-1023-21</t>
  </si>
  <si>
    <t>Рабочий строитель среднего разряда 2,3</t>
  </si>
  <si>
    <t>1-1018-21</t>
  </si>
  <si>
    <t>Рабочий строитель среднего разряда 1,8</t>
  </si>
  <si>
    <t>1-1020-21</t>
  </si>
  <si>
    <t>Рабочий строитель среднего разряда 2</t>
  </si>
  <si>
    <t>030401</t>
  </si>
  <si>
    <t>ТСЭМ Чувашская республика (редакция 2014), 030401, Приказ Минстроя России от 05.05.2015 № 337/пр</t>
  </si>
  <si>
    <t>Лебедки электрические тяговым усилием до 5,79 кН (0,59 т)</t>
  </si>
  <si>
    <t>1-1032-21</t>
  </si>
  <si>
    <t>Рабочий строитель среднего разряда 3,2</t>
  </si>
  <si>
    <t>134041</t>
  </si>
  <si>
    <t>ТСЭМ Чувашская республика (редакция 2014), 134041, Приказ Минстроя России от 05.05.2015 № 337/пр</t>
  </si>
  <si>
    <t>Шуруповерт</t>
  </si>
  <si>
    <t>331451</t>
  </si>
  <si>
    <t>ТСЭМ Чувашская республика (редакция 2014), 331451, Приказ Минстроя России от 05.05.2015 № 337/пр</t>
  </si>
  <si>
    <t>Перфораторы электрические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</si>
  <si>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</si>
  <si>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</si>
  <si>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</si>
  <si>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101-2052</t>
  </si>
  <si>
    <t>ТССЦ Чувашская республика (редакция 2014), 101-2052, Приказ Минстроя России от 05.05.2015 № 337/пр</t>
  </si>
  <si>
    <t>Лента бутиловая</t>
  </si>
  <si>
    <t>101-2054</t>
  </si>
  <si>
    <t>ТССЦ Чувашская республика (редакция 2014), 101-2054, Приказ Минстроя России от 05.05.2015 № 337/пр</t>
  </si>
  <si>
    <t>Лента бутиловая диффузионная</t>
  </si>
  <si>
    <t>101-2388</t>
  </si>
  <si>
    <t>ТССЦ Чувашская республика (редакция 2014), 101-2388, Приказ Минстроя России от 05.05.2015 № 337/пр</t>
  </si>
  <si>
    <t>Герметик пенополиуретановый (пена монтажная) типа Makrofleks, Soudal в баллонах по 750 мл</t>
  </si>
  <si>
    <t>101-2789</t>
  </si>
  <si>
    <t>ТССЦ Чувашская республика (редакция 2014), 101-2789, Приказ Минстроя России от 05.05.2015 № 337/пр</t>
  </si>
  <si>
    <t>Лента ПСУЛ</t>
  </si>
  <si>
    <t>101-4173</t>
  </si>
  <si>
    <t>ТССЦ Чувашская республика (редакция 2014), 101-4173, Приказ Минстроя России от 05.05.2015 № 337/пр</t>
  </si>
  <si>
    <t>Дюбели монтажные 10х130 (10х132, 10х150) мм</t>
  </si>
  <si>
    <t>10 шт.</t>
  </si>
  <si>
    <t>102-0303</t>
  </si>
  <si>
    <t>ТССЦ Чувашская республика (редакция 2014), 102-0303, Приказ Минстроя России от 05.05.2015 № 337/пр</t>
  </si>
  <si>
    <t>Клинья пластиковые монтажные</t>
  </si>
  <si>
    <t>1-1030-21</t>
  </si>
  <si>
    <t>Рабочий строитель среднего разряда 3</t>
  </si>
  <si>
    <t>1-1036-21</t>
  </si>
  <si>
    <t>Рабочий строитель среднего разряда 3,6</t>
  </si>
  <si>
    <t>331531</t>
  </si>
  <si>
    <t>ТСЭМ Чувашская республика (редакция 2014), 331531, Приказ Минстроя России от 05.05.2015 № 337/пр</t>
  </si>
  <si>
    <t>Пила дисковая электрическая</t>
  </si>
  <si>
    <t>101-1757</t>
  </si>
  <si>
    <t>ТССЦ Чувашская республика (редакция 2014), 101-1757, Приказ Минстроя России от 05.05.2015 № 337/пр</t>
  </si>
  <si>
    <t>Ветошь</t>
  </si>
  <si>
    <t>101-2434</t>
  </si>
  <si>
    <t>ТССЦ Чувашская республика (редакция 2014), 101-2434, Приказ Минстроя России от 05.05.2015 № 337/пр</t>
  </si>
  <si>
    <t>Клей ПВА</t>
  </si>
  <si>
    <t>101-3464</t>
  </si>
  <si>
    <t>ТССЦ Чувашская республика (редакция 2014), 101-3464, Приказ Минстроя России от 05.05.2015 № 337/пр</t>
  </si>
  <si>
    <t>Грунтовка масляная ВАК-I-V</t>
  </si>
  <si>
    <t>101-5958</t>
  </si>
  <si>
    <t>ТССЦ Чувашская республика (редакция 2014), 101-5958, Приказ Минстроя России от 05.05.2015 № 337/пр</t>
  </si>
  <si>
    <t>Уголок ПВХ, размером 25х25 мм</t>
  </si>
  <si>
    <t>113-0304</t>
  </si>
  <si>
    <t>ТССЦ Чувашская республика (редакция 2014), 113-0304, Приказ Минстроя России от 05.05.2015 № 337/пр</t>
  </si>
  <si>
    <t>Клей резиновый № 88-Н</t>
  </si>
  <si>
    <t>020129</t>
  </si>
  <si>
    <t>ТСЭМ Чувашская республика (редакция 2014), 020129, Приказ Минстроя России от 05.05.2015 № 337/пр</t>
  </si>
  <si>
    <t>Краны башенные при работе на других видах строительства 8 т</t>
  </si>
  <si>
    <t>101-0195</t>
  </si>
  <si>
    <t>ТССЦ Чувашская республика (редакция 2014), 101-0195, Приказ Минстроя России от 05.05.2015 № 337/пр</t>
  </si>
  <si>
    <t>Гвозди толевые круглые 3,0х40 мм</t>
  </si>
  <si>
    <t>101-0795</t>
  </si>
  <si>
    <t>ТССЦ Чувашская республика (редакция 2014), 101-0795, Приказ Минстроя России от 05.05.2015 № 337/пр</t>
  </si>
  <si>
    <t>Проволока канатная оцинкованная, диаметром 3 мм</t>
  </si>
  <si>
    <t>1-1010-21</t>
  </si>
  <si>
    <t>Рабочий строитель среднего разряда 1</t>
  </si>
  <si>
    <t>400051</t>
  </si>
  <si>
    <t>ТСЭМ Чувашская республика (редакция 2014), 400051, Приказ Минстроя России от 05.05.2015 № 337/пр</t>
  </si>
  <si>
    <t>Автомобиль-самосвал, грузоподъемность до 7 т</t>
  </si>
  <si>
    <t>400052</t>
  </si>
  <si>
    <t>ТСЭМ Чувашская республика (редакция 2014), 400052, Приказ Минстроя России от 05.05.2015 № 337/пр</t>
  </si>
  <si>
    <t>Автомобиль-самосвал, грузоподъемность до 10 т</t>
  </si>
  <si>
    <t>203-1073</t>
  </si>
  <si>
    <t>ТССЦ Чувашская республика (редакция 2014), 203-1073, Приказ Минстроя России от 05.05.2015 № 337/пр</t>
  </si>
  <si>
    <t>Блок оконный пластиковый трехстворчатый, с поворотно-откидной створкой, однокамерным стеклопакетом (24 мм), площадью более 3,5 м2</t>
  </si>
  <si>
    <t>101-0936</t>
  </si>
  <si>
    <t>ТССЦ Чувашская республика (редакция 2014), 101-0936, Приказ Минстроя России от 05.05.2015 № 337/пр</t>
  </si>
  <si>
    <t>Скобяные изделия для оконных блоков со спаренными и одинарными переплетами для жилых зданий двустворных (независимо от высоты)</t>
  </si>
  <si>
    <t>101-9138</t>
  </si>
  <si>
    <t>ТССЦ Чувашская республика (редакция 2014), 101-9138, Приказ Минстроя России от 05.05.2015 № 337/пр</t>
  </si>
  <si>
    <t>Доски подоконные ПВХ</t>
  </si>
  <si>
    <t>101-1862</t>
  </si>
  <si>
    <t>ТССЦ Чувашская республика (редакция 2014), 101-1862, Приказ Минстроя России от 05.05.2015 № 337/пр</t>
  </si>
  <si>
    <t>Пластик бумажно-слоистый 2 с декоративной стороной</t>
  </si>
  <si>
    <t>101-1875</t>
  </si>
  <si>
    <t>ТССЦ Чувашская республика (редакция 2014), 101-1875, Приказ Минстроя России от 05.05.2015 № 337/пр</t>
  </si>
  <si>
    <t>Сталь листовая оцинкованная толщиной листа 0,7 мм</t>
  </si>
  <si>
    <r>
      <t>Устройство мелких покрытий (брандмауэры, парапеты, свесы и т.п.) из листовой оцинкованной стали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</si>
  <si>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Армирование подстилающих слоев и набетонок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</si>
  <si>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пароизоляции из полиэтиленовой пленки в один слой насухо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</si>
  <si>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стропил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</si>
  <si>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Монтаж рам коробчатого сечения пролетом до 24 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</si>
  <si>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бетонной подготовки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</si>
  <si>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подстилающих и выравнивающих слоев оснований из щебня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</si>
  <si>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прослойки из нетканого синтетического материала (НСМ) в земляном полотне сплошной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</si>
  <si>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потолков плитно-ячеистых по каркасу из оцинкованного профиля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</si>
  <si>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стяжек бетонных толщиной 20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</si>
  <si>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стяжек цементных толщиной 20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</si>
  <si>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покрытий из плит керамогранитных размером 40х40 см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</si>
  <si>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уголков ПВХ на клее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</si>
  <si>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Облицовка оконных и дверных откосов декоративным бумажно-слоистым пластиком или листами из синтетических материалов на клее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</si>
  <si>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металлических дверных блоков в готовые проемы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</si>
  <si>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Демонтаж. Установка металлических дверных блоков в готовые проемы</t>
    </r>
    <r>
      <rPr>
        <i/>
        <sz val="10"/>
        <rFont val="Arial"/>
        <family val="2"/>
        <charset val="204"/>
      </rPr>
      <t xml:space="preserve">
Поправки к: 
МР )*0;   
ЭММ )*0,7;   
ЗПМ )*0,7;   
ОЗП )*0,7;   
Труд.Стр. )*0,7;   
Труд.Маш. )*0,7</t>
    </r>
  </si>
  <si>
    <t>Основание: 1096-2020 АС</t>
  </si>
  <si>
    <t>Локальная смета: Общестроительные работы</t>
  </si>
  <si>
    <t>Раздел: Демонтажные работы</t>
  </si>
  <si>
    <t>Объем: 2,394=19,95*0,12</t>
  </si>
  <si>
    <t>Объем: 0,132=13,2/100</t>
  </si>
  <si>
    <t>Объем: 0,76=76/100</t>
  </si>
  <si>
    <t>*0,9=94,5%</t>
  </si>
  <si>
    <t>94,5</t>
  </si>
  <si>
    <t>*0,85=46,75%</t>
  </si>
  <si>
    <t>46,75</t>
  </si>
  <si>
    <t>Объем: 0,09=(1+5+2+1)/100</t>
  </si>
  <si>
    <t>6,1</t>
  </si>
  <si>
    <t>Объем: 0,24=0,03*8</t>
  </si>
  <si>
    <t>Объем: 2,342=(195,69+38,47)/100</t>
  </si>
  <si>
    <t>Объем: 6,84=(1,2*2,1*2+0,9*2)</t>
  </si>
  <si>
    <t>Объем: 0,03=(2+1)/100</t>
  </si>
  <si>
    <t>Снятие дверных полотен</t>
  </si>
  <si>
    <t>Объем: 0,046=(0,8*2*2+0,7*2)/100</t>
  </si>
  <si>
    <t>11,1</t>
  </si>
  <si>
    <t>Погрузочные работы при автомобильных перевозках мусора строительного с погрузкой вручную</t>
  </si>
  <si>
    <t>Объем: 34=(2,394*1,8+0,47256+76*5,13/1000+89,2*0,005+0,9594+0,60876+0,24+13,5836+3*0,03+0,315+0,05428+6*0,1+6,63*1,8)</t>
  </si>
  <si>
    <t>Итого по разделу: Демонтажные работы</t>
  </si>
  <si>
    <t/>
  </si>
  <si>
    <t>Раздел: Перегородки</t>
  </si>
  <si>
    <t>Объем: 0,137=13,7/100</t>
  </si>
  <si>
    <t>*0,9=109,8%</t>
  </si>
  <si>
    <t>109,8</t>
  </si>
  <si>
    <t>*0,85=68%</t>
  </si>
  <si>
    <t>Растворы цементно-известковые</t>
  </si>
  <si>
    <t>Кирпич керамический или силикатный</t>
  </si>
  <si>
    <t>1000 ШТ</t>
  </si>
  <si>
    <t>Раствор готовый кладочный, цементный, М100</t>
  </si>
  <si>
    <t>Кирпич керамический одинарный, марка 100, размер 250x120x65 мм</t>
  </si>
  <si>
    <t>Объем: 0,685=685/1000</t>
  </si>
  <si>
    <t>Объем: 0,274=27,4/100</t>
  </si>
  <si>
    <t>Объем: 0,9=2,1*0,8*0,51</t>
  </si>
  <si>
    <t>20,1</t>
  </si>
  <si>
    <t>Кирпич глиняный обыкновенный</t>
  </si>
  <si>
    <t>Объем: 0,36=360/1000</t>
  </si>
  <si>
    <t>Объем: 0,034=3,4/100</t>
  </si>
  <si>
    <t>Итого по разделу: Перегородки</t>
  </si>
  <si>
    <t>Раздел: Проемы</t>
  </si>
  <si>
    <t>Объем: 9,86=(2,1*1,2+2,1*0,91*2+2,1*0,81+2*0,91)</t>
  </si>
  <si>
    <t>Блоки дверные металлические</t>
  </si>
  <si>
    <t>Комплект скобяных изделий для отдельных полотен двупольных входных дверей при заполнении отдельными элементами</t>
  </si>
  <si>
    <t>Блок дверной стальной внутренний однопольный ДСВ, площадь 2,1 м2</t>
  </si>
  <si>
    <t>Объем: 5,52=(2,1*0,91*2+2,1*0,81)</t>
  </si>
  <si>
    <t>Блок дверной стальной наружный двупольный типа ДСН ДКН, площадь 2,73 м2.</t>
  </si>
  <si>
    <t>Объем: 4,34=(2,1*1,2+2*0,91)</t>
  </si>
  <si>
    <t>Смеси бетонные тяжелого бетона</t>
  </si>
  <si>
    <t>Объем: 0,252=(2,9*2,9*3)/100</t>
  </si>
  <si>
    <t>Объем: 0,059=(1,35*1,45+1,4*1,4*2)/100</t>
  </si>
  <si>
    <t>*0,9=106,2%</t>
  </si>
  <si>
    <t>*0,85=53,55%</t>
  </si>
  <si>
    <t>53,55</t>
  </si>
  <si>
    <t>Блоки оконные пластиковые</t>
  </si>
  <si>
    <t>Объем: 0,141=(1,95*1,45*5)/100</t>
  </si>
  <si>
    <t>Объем: 0,139=13,9/100</t>
  </si>
  <si>
    <t>Доски подоконные из ПВХ, ширина 400 мм</t>
  </si>
  <si>
    <t>Объем: 15,29=13,9*1,1</t>
  </si>
  <si>
    <t>Заглушки торцевые двусторонние к подоконной доске из ПВХ, белый, мрамор, размеры 40x480 мм</t>
  </si>
  <si>
    <t>Объем: 1,6=(8*2)/10</t>
  </si>
  <si>
    <t>Объем: 0,129=(36,9*0,35)/100</t>
  </si>
  <si>
    <t>Листы облицовочные декоративные</t>
  </si>
  <si>
    <t>Клей</t>
  </si>
  <si>
    <t>43,3</t>
  </si>
  <si>
    <t>Грунтовка</t>
  </si>
  <si>
    <t>Сэндвич-панели для откосов наружные слои листы из поливинилхлорида, внутреннее наполнение вспененный пенополистирол белые, ширина 2 м, длина 3,0 м, толщина 10 мм</t>
  </si>
  <si>
    <t>Клей монтажный</t>
  </si>
  <si>
    <t>Объем: 0,004=3,87/1000</t>
  </si>
  <si>
    <t>Слой (грунтовка) для обеспечения адгезии</t>
  </si>
  <si>
    <t>Объем: 0,738=73,8/100</t>
  </si>
  <si>
    <t>Уголок ПВХ</t>
  </si>
  <si>
    <t>Уголок из ПВХ, размер 25x25 мм</t>
  </si>
  <si>
    <t>Объем: 7,38=73,8/10</t>
  </si>
  <si>
    <t>Объем: 0,071=7,1/100</t>
  </si>
  <si>
    <t>Смеси на цементной основе</t>
  </si>
  <si>
    <t>Объем: 1,8=7,1*0,25</t>
  </si>
  <si>
    <t>Смесь штукатурная «Ротбанд», КНАУФ</t>
  </si>
  <si>
    <t>Объем: 0,035=(13,9*0,25)/100</t>
  </si>
  <si>
    <t>*0,9=108%</t>
  </si>
  <si>
    <t>*0,85=55,25%</t>
  </si>
  <si>
    <t>55,25</t>
  </si>
  <si>
    <t>Итого по разделу: Проемы</t>
  </si>
  <si>
    <t>Раздел: Полы</t>
  </si>
  <si>
    <t>тип 1 -283,75 м2</t>
  </si>
  <si>
    <t>Объем: 2,838=283,75/100</t>
  </si>
  <si>
    <t>*0,9=110,7%</t>
  </si>
  <si>
    <t>110,7</t>
  </si>
  <si>
    <t>*0,85=63,75%</t>
  </si>
  <si>
    <t>63,75</t>
  </si>
  <si>
    <t>Раствор готовый кладочный тяжелый цементный</t>
  </si>
  <si>
    <t>57,1</t>
  </si>
  <si>
    <t>Рейки деревянные</t>
  </si>
  <si>
    <t>Грунтовка: водно-дисперсионная "БИРСС Бетон-контакт"</t>
  </si>
  <si>
    <t>тип 2 - 203,1 м2</t>
  </si>
  <si>
    <t>Объем: 2,031=203,1/100</t>
  </si>
  <si>
    <t>59,1</t>
  </si>
  <si>
    <t>61,1</t>
  </si>
  <si>
    <t>63,1</t>
  </si>
  <si>
    <t>Смеси бетонные тяжелого бетона (БСТ), класс В25 (М350)</t>
  </si>
  <si>
    <t>65,1</t>
  </si>
  <si>
    <t>Объем: 0,615=3,03*203,1/1000</t>
  </si>
  <si>
    <t>67,1</t>
  </si>
  <si>
    <t>Арматура</t>
  </si>
  <si>
    <t>Сетка арматурная сварная</t>
  </si>
  <si>
    <t>69,1</t>
  </si>
  <si>
    <t>Раствор декоративный (с каменной крошкой)</t>
  </si>
  <si>
    <t>тип пола 3 - 2 м2</t>
  </si>
  <si>
    <t>Объем: 0,026=2,6/100</t>
  </si>
  <si>
    <t>Объем: 2,86=2,6*1,1</t>
  </si>
  <si>
    <t>Объем: 0,006=3,03*2/1000</t>
  </si>
  <si>
    <t>Объем: 1,725=172,5/100</t>
  </si>
  <si>
    <t>Лента гидроизоляционная</t>
  </si>
  <si>
    <t>Лента гидроизоляционная для углов и швов</t>
  </si>
  <si>
    <t>Объем: 0,085=(56,7*0,15)/100</t>
  </si>
  <si>
    <t>Смесь сухая для заделки швов</t>
  </si>
  <si>
    <t>Плитки рядовые</t>
  </si>
  <si>
    <t>Клей для облицовочных работ (сухая смесь)</t>
  </si>
  <si>
    <t>Затирка «Боларс» (разной цветности)</t>
  </si>
  <si>
    <t>Плитка керамогранитная, размер 400x400x9 мм</t>
  </si>
  <si>
    <t>Клей плиточный «Боларс Гранит»</t>
  </si>
  <si>
    <t>Итого по разделу: Полы</t>
  </si>
  <si>
    <t>Раздел: Потолки</t>
  </si>
  <si>
    <t>Объем: 3,343=334,31/100</t>
  </si>
  <si>
    <t>Каркасы подвесных потолков с подвесками и деталями крепления</t>
  </si>
  <si>
    <t>Объем: 1,672=334,3*0,005</t>
  </si>
  <si>
    <t>Профнастил оцинкованный с покрытием: полиэстер матовый С21-1000-0,5</t>
  </si>
  <si>
    <t>Объем: 367,73=334,3*1,1</t>
  </si>
  <si>
    <t>Объем: 1,029=102,93/100</t>
  </si>
  <si>
    <t>Итого по разделу: Потолки</t>
  </si>
  <si>
    <t>Раздел: Стены</t>
  </si>
  <si>
    <t>Объем: 0,506=50,55/100</t>
  </si>
  <si>
    <t>Объем: 1,686=168,55/100</t>
  </si>
  <si>
    <t>Краска водоэмульсионная</t>
  </si>
  <si>
    <t>Краска водоэмульсионная для внутренних работ ВАК-25</t>
  </si>
  <si>
    <t>Итого по разделу: Стены</t>
  </si>
  <si>
    <t>Раздел: Фундаменты</t>
  </si>
  <si>
    <t>Объем: 0,0414=0,92*0,75*0,5*12/100</t>
  </si>
  <si>
    <t>Каркасы металлические</t>
  </si>
  <si>
    <t>Итого по разделу: Фундаменты</t>
  </si>
  <si>
    <t>Раздел: Отмостка</t>
  </si>
  <si>
    <t>*0,9=127,8%</t>
  </si>
  <si>
    <t>127,8</t>
  </si>
  <si>
    <t>*0,85=80,75%</t>
  </si>
  <si>
    <t>80,75</t>
  </si>
  <si>
    <t>Щебень М 800, фракция 10-20 мм, группа 2</t>
  </si>
  <si>
    <t>Объем: 38,3=(17,4*2,2)</t>
  </si>
  <si>
    <t>Итого по разделу: Отмостка</t>
  </si>
  <si>
    <t>Раздел: Пандус</t>
  </si>
  <si>
    <t>Объем: 0,027=(27,15*0,1)/100</t>
  </si>
  <si>
    <t>Объем: 0,027=27,15/1000</t>
  </si>
  <si>
    <t>Нетканый геотекстиль: Дорнит 450 г/м2</t>
  </si>
  <si>
    <t>Объем: 29,865=27,15*1,1</t>
  </si>
  <si>
    <t>Объем: 0,272=27,15/100</t>
  </si>
  <si>
    <t>120,1</t>
  </si>
  <si>
    <t>Плиты теплоизоляционные</t>
  </si>
  <si>
    <t>Плиты из пенополистирола, размером: 0,6х4 м для укрепления земляного полотна</t>
  </si>
  <si>
    <t>Объем: 0,054=(27,15*0,2)/100</t>
  </si>
  <si>
    <t>Смеси бетонные тяжелого бетона (БСТ), крупность заполнителя 40 мм, класс В30 (М400)</t>
  </si>
  <si>
    <t>Объем: 0,221=8,15*27,15/1000</t>
  </si>
  <si>
    <t>127,1</t>
  </si>
  <si>
    <t>Итого по разделу: Пандус</t>
  </si>
  <si>
    <t>Раздел: Отверстия ОВ</t>
  </si>
  <si>
    <t>Объем: 0,046=0,002*23</t>
  </si>
  <si>
    <t>Устройство металлических перемычек в стенах существующих зданий</t>
  </si>
  <si>
    <t>Объем: 0,03=30,3/1000</t>
  </si>
  <si>
    <t>Элементы конструктивные зданий и сооружений с преобладанием гнутых профилей, средняя масса сборочной единицы до 0,1 т</t>
  </si>
  <si>
    <t>Итого по разделу: Отверстия ОВ</t>
  </si>
  <si>
    <t>Раздел: Металлическая рама для приточной установки</t>
  </si>
  <si>
    <t>Объем: 0,333=(84,52+65,08+183,06)/1000</t>
  </si>
  <si>
    <t>Объем: 0,097=(0,333*29)/100</t>
  </si>
  <si>
    <t>Объем: 0,097=9,7/100</t>
  </si>
  <si>
    <t>Итого по разделу: Металлическая рама для приточной установки</t>
  </si>
  <si>
    <t>Раздел: Кровельные работы</t>
  </si>
  <si>
    <t>Объем: 1,5855=158,55/100</t>
  </si>
  <si>
    <t>Объем: 0,2025=20,25/100</t>
  </si>
  <si>
    <t>Объем: 7,9=(158,55*0,05)</t>
  </si>
  <si>
    <t>100 т</t>
  </si>
  <si>
    <t>Объем: 0,133=(158,55*0,14*0,6)/100</t>
  </si>
  <si>
    <t>Затаривание строительного мусора в мешки</t>
  </si>
  <si>
    <t>Объем: 33,4=(0,78*1,5855+0,51*0,2025+18,802+13,3)</t>
  </si>
  <si>
    <t>Объем: 0,8=(0,225+0,585)</t>
  </si>
  <si>
    <t>Объем: 0,405=((0,1+0,15)*2*15+(0,1+0,15)*2*39+0,05*4*67,5)/100</t>
  </si>
  <si>
    <t>146,1</t>
  </si>
  <si>
    <t>Антисептик</t>
  </si>
  <si>
    <t>Антисептик-антипирен «ПИРИЛАКС-ТЕРМА» для древесины</t>
  </si>
  <si>
    <t>Объем: 0,27=(27)/100</t>
  </si>
  <si>
    <t>Объем: 1,811=(22,5+158,55)/100</t>
  </si>
  <si>
    <t>Объем: 1,586=158,55/100</t>
  </si>
  <si>
    <t>Объем: 0,045=(7,5*0,6)/100</t>
  </si>
  <si>
    <t>Объем: 4=(7,5)/2</t>
  </si>
  <si>
    <t>Объем: 3=(6)/2</t>
  </si>
  <si>
    <t>Профилированный настил оцинкованный: С21-1000-0,8</t>
  </si>
  <si>
    <t>Объем: 0,23=8,4*27/1000</t>
  </si>
  <si>
    <t>Плиты из минеральной ваты повышенной жесткости на синтетическом связующем ППЖ-200</t>
  </si>
  <si>
    <t>Объем: 32,7=163,358*0,2</t>
  </si>
  <si>
    <t>164,1</t>
  </si>
  <si>
    <t>Объем: 0,32=2,019*158,55/1000</t>
  </si>
  <si>
    <t>168,1</t>
  </si>
  <si>
    <t>170,1</t>
  </si>
  <si>
    <t>Материалы рулонные кровельные для верхнего слоя</t>
  </si>
  <si>
    <t>170,2</t>
  </si>
  <si>
    <t>Материалы рулонные кровельные для нижних слоев</t>
  </si>
  <si>
    <t>КТпласт: ЭПП-4,0</t>
  </si>
  <si>
    <t>КТпласт: ЭКП-5,0</t>
  </si>
  <si>
    <t>Объем: 0,283=(47,2*0,6)/100</t>
  </si>
  <si>
    <t>Объем: 0,075=(7,5)/100</t>
  </si>
  <si>
    <t>Объем: 4=7,5/2</t>
  </si>
  <si>
    <t>Объем: 8,8=(2*3,4+2*1)</t>
  </si>
  <si>
    <t>Труба водосточная</t>
  </si>
  <si>
    <t>Изделия для водосточных труб</t>
  </si>
  <si>
    <t>Объем: 0,311=(7,5+23,6)/100</t>
  </si>
  <si>
    <t>Объем: 3=(1+2)</t>
  </si>
  <si>
    <t>183,1</t>
  </si>
  <si>
    <t>Итого по разделу: Кровельные работы</t>
  </si>
  <si>
    <t>Итого по локальной смете: Общестроительные работы</t>
  </si>
  <si>
    <t>Составлен(а) в ценах по состоянию на 3 кв 2020 г.</t>
  </si>
  <si>
    <t>прил 1 к письму от 18.08.2020 №32427-ИФ/09</t>
  </si>
  <si>
    <t>Индекс изменения сметной стоимости на 3 кв 2020 года (объекты образования (прочие) - 6,80)</t>
  </si>
  <si>
    <t>прил 1 к письму от 19.08.2020 №32582-ИФ/09</t>
  </si>
  <si>
    <t>Индекс изменения сметной стоимости на 3 кв 2020 года (объекты образования -  4,12)</t>
  </si>
  <si>
    <r>
      <t>Устройство металлической водосточной системы: колен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</si>
  <si>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металлической водосточной системы: воронок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</si>
  <si>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желобов: подвесных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</si>
  <si>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металлической водосточной системы: прямых звеньев труб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</si>
  <si>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Монтаж снегозадержателя: решетчатого и трубчатого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</si>
  <si>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кровель плоских из наплавляемых материалов: в два слоя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</si>
  <si>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выравнивающих стяжек: на каждый 1 мм изменения толщины добавлять или исключать к расценке 12-01-017-01</t>
    </r>
    <r>
      <rPr>
        <i/>
        <sz val="10"/>
        <rFont val="Arial"/>
        <family val="2"/>
        <charset val="204"/>
      </rPr>
      <t xml:space="preserve">
Поправки к: 
МР *15;   
ЭММ )*1,25*15;   
ЗПМ )*1,25*15;   
ОЗП )*1,15*15;   
Труд.Стр. )*1,15*15;   
Труд.Маш. )*1,25*15</t>
    </r>
  </si>
  <si>
    <r>
      <t>Устройство выравнивающих стяжек: цементно-песчаных толщиной 15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</si>
  <si>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подкровельной пленочной гидроизоляции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</si>
  <si>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Утепление покрытий плитами: из минеральной ваты или перлита на битумной мастике в один слой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</si>
  <si>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Монтаж кровли из профилированного листа для объектов непроизводственного назначения: средней сложности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</si>
  <si>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Устройство: карнизов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</si>
  <si>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пароизоляции: прокладочной в один слой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</si>
  <si>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Окраска металлических огрунтованных поверхностей: эмалью ПФ-115</t>
    </r>
    <r>
      <rPr>
        <i/>
        <sz val="10"/>
        <rFont val="Arial"/>
        <family val="2"/>
        <charset val="204"/>
      </rPr>
      <t xml:space="preserve">
Поправки к: 
МР *2;   
ЭММ )*1,25*2;   
ЗПМ )*1,25*2;   
ОЗП )*1,15*2;   
Труд.Стр. )*1,15*2;   
Труд.Маш. )*1,25*2</t>
    </r>
  </si>
  <si>
    <r>
      <t>Огрунтовка металлических поверхностей за один раз: грунтовкой ГФ-021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</si>
  <si>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тепло- и звукоизоляции сплошной из плит: или матов минераловатных или стекловолокнистых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</si>
  <si>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железобетонных фундаментов общего назначения под колонны объемом: до 3 м3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</si>
  <si>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Наружная облицовка поверхности стен в вертикальном исполнении по металлическому каркасу (с его устройством): металлосайдингом без пароизоляционного слоя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</si>
  <si>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Монтаж потолков подвесных: комбинированных стальных с облицовкой алюминиевыми листами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</si>
  <si>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</si>
  <si>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стяжек на каждые 5 мм изменения толщины стяжки добавлять или исключать к расценке 11- 01-011-03</t>
    </r>
    <r>
      <rPr>
        <i/>
        <sz val="10"/>
        <rFont val="Arial"/>
        <family val="2"/>
        <charset val="204"/>
      </rPr>
      <t xml:space="preserve">
Поправки к: 
МР *16;   
ЭММ )*1,25*16;   
ЗПМ )*1,25*16;   
ОЗП )*1,15*16;   
Труд.Стр. )*1,15*16;   
Труд.Маш. )*1,25*16</t>
    </r>
  </si>
  <si>
    <r>
      <t>Устройство стяжек на каждые 5 мм изменения толщины стяжки добавлять или исключать к расценке 11- 01-011-01</t>
    </r>
    <r>
      <rPr>
        <i/>
        <sz val="10"/>
        <rFont val="Arial"/>
        <family val="2"/>
        <charset val="204"/>
      </rPr>
      <t xml:space="preserve">
Поправки к: 
МР *6;   
ЭММ )*1,25*6;   
ЗПМ )*1,25*6;   
ОЗП )*1,15*6;   
Труд.Стр. )*1,15*6;   
Труд.Маш. )*1,25*6</t>
    </r>
  </si>
  <si>
    <r>
      <t>Устройство покрытий мозаичных: терраццо толщиной 20 мм без рисунка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</si>
  <si>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стяжек на каждые 5 мм изменения толщины стяжки добавлять или исключать к расценке 11- 01-011-03</t>
    </r>
    <r>
      <rPr>
        <i/>
        <sz val="10"/>
        <rFont val="Arial"/>
        <family val="2"/>
        <charset val="204"/>
      </rPr>
      <t xml:space="preserve">
Поправки к: 
МР *12;   
ЭММ )*1,25*12;   
ЗПМ )*1,25*12;   
ОЗП )*1,15*12;   
Труд.Стр. )*1,15*12;   
Труд.Маш. )*1,25*12</t>
    </r>
  </si>
  <si>
    <r>
      <t>Устройство стяжек на каждые 5 мм изменения толщины стяжки добавлять или исключать к расценке 11- 01-011-01</t>
    </r>
    <r>
      <rPr>
        <i/>
        <sz val="10"/>
        <rFont val="Arial"/>
        <family val="2"/>
        <charset val="204"/>
      </rPr>
      <t xml:space="preserve">
Поправки к: 
МР *2;   
ЭММ )*1,25*2;   
ЗПМ )*1,25*2;   
ОЗП )*1,15*2;   
Труд.Стр. )*1,15*2;   
Труд.Маш. )*1,25*2</t>
    </r>
  </si>
  <si>
    <r>
      <t>Сплошное выравнивание внутренних поверхностей (однослойное оштукатуривание) из сухих растворных смесей толщиной до 10 мм: оконных и дверных откосов плоских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</si>
  <si>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подоконных досок из ПВХ: в каменных стенах толщиной до 0,51 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</si>
  <si>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</si>
  <si>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</si>
  <si>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Монтаж роллетных систем: подъемных и секционных ворот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</si>
  <si>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Монтаж каркасов ворот большепролетных зданий, ангаров и др. без механизмов открывания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</si>
  <si>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Штукатурка поверхностей внутри здания цементно-известковым или цементным раствором по камню и бетону: улучшенная стен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</si>
  <si>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Кладка перегородок из кирпича: армированных толщиной в 1/2 кирпича при высоте этажа до 4 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</si>
  <si>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Демонтаж. Монтаж каркасов ворот большепролетных зданий, ангаров и др. без механизмов открывания</t>
    </r>
    <r>
      <rPr>
        <i/>
        <sz val="10"/>
        <rFont val="Arial"/>
        <family val="2"/>
        <charset val="204"/>
      </rPr>
      <t xml:space="preserve">
Поправки к: 
МР )*0;   
ЭММ )*0,7;   
ЗПМ )*0,7;   
ОЗП )*0,7;   
Труд.Стр. )*0,7;   
Труд.Маш. )*0,7</t>
    </r>
  </si>
  <si>
    <r>
      <t>Демонтаж. Монтаж: лотков, решеток, затворов из полосовой и тонколистовой стали</t>
    </r>
    <r>
      <rPr>
        <i/>
        <sz val="10"/>
        <rFont val="Arial"/>
        <family val="2"/>
        <charset val="204"/>
      </rPr>
      <t xml:space="preserve">
Поправки к: 
МР )*0;   
ЭММ )*0,7;   
ЗПМ )*0,7;   
ОЗП )*0,7;   
Труд.Стр. )*0,7;   
Труд.Маш. )*0,7</t>
    </r>
  </si>
  <si>
    <r>
      <t>Заполнение проемов стеклянными блоками: при высоте этажа до 4 м</t>
    </r>
    <r>
      <rPr>
        <i/>
        <sz val="10"/>
        <rFont val="Arial"/>
        <family val="2"/>
        <charset val="204"/>
      </rPr>
      <t xml:space="preserve">
Поправки к: 
МР )*0;   
ЭММ )*0,8;   
ЗПМ )*0,8;   
ОЗП )*0,8;   
Труд.Стр. )*0,8;   
Труд.Маш. )*0,8</t>
    </r>
  </si>
  <si>
    <r>
      <t>Демонтаж. Устройство металлического каркаса из направляющих профилей под облицовку различными материалами: перегородок</t>
    </r>
    <r>
      <rPr>
        <i/>
        <sz val="10"/>
        <rFont val="Arial"/>
        <family val="2"/>
        <charset val="204"/>
      </rPr>
      <t xml:space="preserve">
Поправки к: 
МР )*0;   
ЭММ )*0,7;   
ЗПМ )*0,7;   
ОЗП )*0,7;   
Труд.Стр. )*0,7;   
Труд.Маш. )*0,7</t>
    </r>
  </si>
  <si>
    <r>
      <t>Демонтаж. Монтаж ограждающих конструкций стен: из профилированного листа при высоте здания до 30 м</t>
    </r>
    <r>
      <rPr>
        <i/>
        <sz val="10"/>
        <rFont val="Arial"/>
        <family val="2"/>
        <charset val="204"/>
      </rPr>
      <t xml:space="preserve">
Поправки к: 
МР )*0;   
ЭММ )*0,7;   
ЗПМ )*0,7;   
ОЗП )*0,7;   
Труд.Стр. )*0,7;   
Труд.Маш. )*0,7</t>
    </r>
  </si>
  <si>
    <t>ФЕР-2001, 46-04-008-01, приказ Минстроя России № 876/пр от 26.12.2019</t>
  </si>
  <si>
    <t>Разборка покрытий кровель: из рулонных материалов</t>
  </si>
  <si>
    <t>ФЕР-2001, 46-04-008-02, приказ Минстроя России № 876/пр от 26.12.2019</t>
  </si>
  <si>
    <t>Разборка покрытий кровель: из листовой стали</t>
  </si>
  <si>
    <t>ФЕР-2001, 46-04-009-01, приказ Минстроя России № 876/пр от 26.12.2019</t>
  </si>
  <si>
    <t>Разборка бетонных оснований под полы: на гравии</t>
  </si>
  <si>
    <t>134,1</t>
  </si>
  <si>
    <t>ФЕРр-2001, 69-9-1, приказ Минстроя России № 876/пр от 26.12.2019</t>
  </si>
  <si>
    <t>Очистка помещений от строительного мусора</t>
  </si>
  <si>
    <t>135,1</t>
  </si>
  <si>
    <t>ФЕРр-2001, 69-15-1, приказ Минстроя России № 876/пр от 26.12.2019</t>
  </si>
  <si>
    <t>ФССЦпг-2001, т01-01-01-041, приказ Минстроя России №876/пр от 26.12.2019</t>
  </si>
  <si>
    <t>ФССЦпг-2001, т03-21-01-025, приказ Минстроя России №876/пр от 26.12.2019</t>
  </si>
  <si>
    <t>Перевозка грузов I класса автомобилями-самосвалами грузоподъемностью 10 т работающих вне карьера на расстояние: до 25 км</t>
  </si>
  <si>
    <t>ФЕР-2001, 10-01-002-01, приказ Минстроя России № 876/пр от 26.12.2019</t>
  </si>
  <si>
    <t>ФЕРр-2001, 69-10-5, приказ Минстроя России № 876/пр от 26.12.2019</t>
  </si>
  <si>
    <t>Антисептирование древесины: маслянистыми антисептиками</t>
  </si>
  <si>
    <t>ФССЦ-2001, 14.2.06.01-0003, приказ Минстроя России № 876/пр от 26.12.2019</t>
  </si>
  <si>
    <t>ФЕРр-2001, 58-12-2, приказ Минстроя России № 876/пр от 26.12.2019</t>
  </si>
  <si>
    <t>Устройство обрешетки с прозорами из досок и брусков под кровлю: из листовой стали</t>
  </si>
  <si>
    <t>ФЕР-2001, 12-01-015-03, приказ Минстроя России № 876/пр от 26.12.2019</t>
  </si>
  <si>
    <t>ФЕР-2001, 12-01-017-01, приказ Минстроя России № 876/пр от 26.12.2019</t>
  </si>
  <si>
    <t>144,1</t>
  </si>
  <si>
    <t>ФССЦ-2001, 04.3.01.09-0014, приказ Минстроя России № 876/пр от 26.12.2019</t>
  </si>
  <si>
    <t>ФЕР-2001, 12-01-017-02, приказ Минстроя России № 876/пр от 26.12.2019</t>
  </si>
  <si>
    <t>ФЕР-2001, 10-01-008-05, приказ Минстроя России № 876/пр от 26.12.2019</t>
  </si>
  <si>
    <t>ФЕР-2001, 12-01-033-02, приказ Минстроя России № 876/пр от 26.12.2019</t>
  </si>
  <si>
    <t>149,1</t>
  </si>
  <si>
    <t>ФССЦ-2001, 01.7.03.04-0001-3, приказ Минстроя России № 294/пр от 01.06.2020 (см. тех.часть)</t>
  </si>
  <si>
    <t>Затраты на электроэнергию, потребляемую ручным инструментом ( 1 % от ОЗП)</t>
  </si>
  <si>
    <t>РУБ</t>
  </si>
  <si>
    <t>ФССЦ-2001 доп.1, 12.1.01.05-0030, приказ Минстроя России № 172/пр от 30.03.2020</t>
  </si>
  <si>
    <t>Планка карниза металлическая для металлочерепичной кровли, окрашенная, размер 100х65 мм, длина 2000 мм</t>
  </si>
  <si>
    <t>ФССЦ-2001 доп.1, 12.1.01.05-0032, приказ Минстроя России № 172/пр от 30.03.2020</t>
  </si>
  <si>
    <t>Планка стыковочная металлическая для металлочерепичной кровли, окрашенная, ширина 50 мм, высота 18 мм, длина 2000 мм</t>
  </si>
  <si>
    <t>ФССЦ-2001 доп.1, 12.1.01.05-0033, приказ Минстроя России № 172/пр от 30.03.2020</t>
  </si>
  <si>
    <t>Планка торцевая металлическая для металлочерепичной кровли, окрашенная, ширина до 120 мм, высота до 145 мм, длина 2000 мм</t>
  </si>
  <si>
    <t>Планка торцевая металлическая для металлочерепичной кровли, окрашенная, ширина до 120 мм, высота до 145 мм, длина 2000 мм  прим к пристенный профиль длиной 2000 мм</t>
  </si>
  <si>
    <t>ФССЦ-2001, 08.3.09.01-0070, приказ Минстроя России № 876/пр от 26.12.2019</t>
  </si>
  <si>
    <t>ФЕР-2001, 12-01-013-03, приказ Минстроя России № 876/пр от 26.12.2019</t>
  </si>
  <si>
    <t>ФССЦ-2001, 12.2.05.05-0014, приказ Минстроя России № 876/пр от 26.12.2019</t>
  </si>
  <si>
    <t>ФЕР-2001 доп. 1, 12-01-037-04, приказ Минстроя России № 172/пр от 30.03.2020</t>
  </si>
  <si>
    <t>158,1</t>
  </si>
  <si>
    <t>160,1</t>
  </si>
  <si>
    <t>ФЕР-2001 доп. 3, 06-03-004-12, приказ Минстроя России № 352/пр от 30.06.2020</t>
  </si>
  <si>
    <t>162,1</t>
  </si>
  <si>
    <t>ФССЦ-2001, 08.4.02.01-0021, приказ Минстроя России № 876/пр от 26.12.2019</t>
  </si>
  <si>
    <t>ФЕР-2001, 12-01-002-09, приказ Минстроя России № 876/пр от 26.12.2019</t>
  </si>
  <si>
    <t>ФССЦ-2001, 12.1.02.07-0042, приказ Минстроя России № 876/пр от 26.12.2019</t>
  </si>
  <si>
    <t>ФССЦ-2001, 12.1.02.07-0041, приказ Минстроя России № 876/пр от 26.12.2019</t>
  </si>
  <si>
    <t>ФЕР-2001, 12-01-010-01, приказ Минстроя России № 876/пр от 26.12.2019</t>
  </si>
  <si>
    <t>ФЕР-2001, 12-01-032-02, приказ Минстроя России № 876/пр от 26.12.2019</t>
  </si>
  <si>
    <t>ФССЦ-2001 доп.1, 12.1.01.05-0031, приказ Минстроя России № 172/пр от 30.03.2020</t>
  </si>
  <si>
    <t>Планка снегозадержателя металлическая для металлочерепичной кровли, окрашенная, размер 95х65 мм, длина 2000 мм</t>
  </si>
  <si>
    <t>ФЕР-2001, 12-01-035-03, приказ Минстроя России № 876/пр от 26.12.2019</t>
  </si>
  <si>
    <t>ФССЦ-2001 доп.1, 12.1.01.05-0064, приказ Минстроя России № 172/пр от 30.03.2020</t>
  </si>
  <si>
    <t>Труба металлическая для водосточных систем, окрашенная, диаметр 100 мм, длина 2000 мм</t>
  </si>
  <si>
    <t>ФССЦ-2001 доп.1, 12.1.01.05-0022, приказ Минстроя России № 172/пр от 30.03.2020</t>
  </si>
  <si>
    <t>Хомут трубы (на кирпич) металлический для водосточных систем, окрашенный, диаметр 100 мм</t>
  </si>
  <si>
    <t>ФЕР-2001, 12-01-009-02, приказ Минстроя России № 876/пр от 26.12.2019</t>
  </si>
  <si>
    <t>ФЕР-2001, 12-01-035-02, приказ Минстроя России № 876/пр от 26.12.2019</t>
  </si>
  <si>
    <t>174,1</t>
  </si>
  <si>
    <t>ФССЦ-2001 доп.1, 12.1.01.05-0005, приказ Минстроя России № 172/пр от 30.03.2020</t>
  </si>
  <si>
    <t>Воронка выпускная металлическая для водосточных систем, окрашенная, диаметр 125/100 мм</t>
  </si>
  <si>
    <t>ФССЦ-2001 доп.1, 12.1.01.05-0056, приказ Минстроя России № 172/пр от 30.03.2020</t>
  </si>
  <si>
    <t>Паук металлический для водосточных систем, окрашенный, диаметр 100 мм</t>
  </si>
  <si>
    <t>ФЕР-2001, 12-01-035-01, приказ Минстроя России № 876/пр от 26.12.2019</t>
  </si>
  <si>
    <t>177,1</t>
  </si>
  <si>
    <t>ФССЦ-2001 доп.1, 12.1.01.05-0046, приказ Минстроя России № 172/пр от 30.03.2020</t>
  </si>
  <si>
    <t>Колено трубы сливное 60° металлическое для водосточных систем, окрашенное, диаметр 100 мм</t>
  </si>
  <si>
    <t>ФЕР-2001, 09-03-037-01, приказ Минстроя России № 876/пр от 26.12.2019</t>
  </si>
  <si>
    <t>128,2</t>
  </si>
  <si>
    <t>ФССЦ-2001, 07.2.07.12-0017, приказ Минстроя России № 876/пр от 26.12.2019</t>
  </si>
  <si>
    <t>ФЕР-2001, 13-03-002-04, приказ Минстроя России № 876/пр от 26.12.2019</t>
  </si>
  <si>
    <t>ФЕР-2001, 13-03-004-26, приказ Минстроя России № 876/пр от 26.12.2019</t>
  </si>
  <si>
    <t>ФЕР-2001, 46-03-007-03, приказ Минстроя России № 876/пр от 26.12.2019</t>
  </si>
  <si>
    <t>Пробивка проемов в конструкциях: из кирпича</t>
  </si>
  <si>
    <t>Объем: 0,81=(0,037+0,085+0,048+0,074+0,047+0,011+0,037+0,018+0,057+0,037+0,025+0,011+0,047+0,025+0,038+0,035+0,085+0,047+0,047)</t>
  </si>
  <si>
    <t>ФЕР-2001, 46-03-017-06, приказ Минстроя России № 876/пр от 26.12.2019</t>
  </si>
  <si>
    <t>Заделка отверстий, гнезд и борозд: в стенах и перегородках бетонных площадью до 0,2 м2</t>
  </si>
  <si>
    <t>124,1</t>
  </si>
  <si>
    <t>ФССЦ-2001, 04.1.02.05-0009, приказ Минстроя России № 876/пр от 26.12.2019</t>
  </si>
  <si>
    <t>ФЕРр-2001, 53-25-1, приказ Минстроя России № 876/пр от 26.12.2019</t>
  </si>
  <si>
    <t>126,1</t>
  </si>
  <si>
    <t>ФЕР-2001 доп. 2, 27-04-016-04, приказ Минстроя России № 294/пр от 01.06.2020</t>
  </si>
  <si>
    <t>ФССЦ-2001, 01.7.12.05-0058, приказ Минстроя России № 876/пр от 26.12.2019</t>
  </si>
  <si>
    <t>ФЕР-2001, 11-01-009-01, приказ Минстроя России № 876/пр от 26.12.2019</t>
  </si>
  <si>
    <t>115,1</t>
  </si>
  <si>
    <t>Плиты или маты минераловатные или стекловолокнистые</t>
  </si>
  <si>
    <t>ФССЦ-2001, 12.2.05.06-0012, приказ Минстроя России № 876/пр от 26.12.2019</t>
  </si>
  <si>
    <t>Объем: 2,802=28,016*0,1</t>
  </si>
  <si>
    <t>ФЕР-2001 доп. 2, 27-04-001-04, приказ Минстроя России № 294/пр от 01.06.2020</t>
  </si>
  <si>
    <t>ФССЦ-2001, 02.2.05.04-1697, приказ Минстроя России № 876/пр от 26.12.2019</t>
  </si>
  <si>
    <t>Объем: 6,842=27,15*0,2*1,26</t>
  </si>
  <si>
    <t>ФЕР-2001, 06-01-001-01, приказ Минстроя России № 876/пр от 26.12.2019</t>
  </si>
  <si>
    <t>119,1</t>
  </si>
  <si>
    <t>ФССЦ-2001, 04.1.02.05-0065, приказ Минстроя России № 876/пр от 26.12.2019</t>
  </si>
  <si>
    <t>ФЕРр-2001, 69-16-1, приказ Минстроя России № 876/пр от 26.12.2019</t>
  </si>
  <si>
    <t>Ремонт отмостки: асфальтобетонной толщиной 14 см</t>
  </si>
  <si>
    <t>Объем: 1,342=134,15/100</t>
  </si>
  <si>
    <t>108,1</t>
  </si>
  <si>
    <t>Щебень</t>
  </si>
  <si>
    <t>108,2</t>
  </si>
  <si>
    <t>Асфальт литой песчаный</t>
  </si>
  <si>
    <t>ФССЦ-2001 доп.3, 04.2.01.01-0054, приказ Минстроя России № 352/пр от 30.06.2020</t>
  </si>
  <si>
    <t>Смеси асфальтобетонные плотные тип Г марка II</t>
  </si>
  <si>
    <t>Объем: 0,091=91,25/1000</t>
  </si>
  <si>
    <t>Объем: 0,0128=(1,12*0,95*0,1*12)/100</t>
  </si>
  <si>
    <t>103,1</t>
  </si>
  <si>
    <t>ФЕР-2001, 06-01-001-05, приказ Минстроя России № 876/пр от 26.12.2019</t>
  </si>
  <si>
    <t>105,1</t>
  </si>
  <si>
    <t>105,2</t>
  </si>
  <si>
    <t>ФССЦ-2001, 08.4.02.04-0001, приказ Минстроя России № 876/пр от 26.12.2019</t>
  </si>
  <si>
    <t>ФЕР-2001, 15-01-063-02, приказ Минстроя России № 876/пр от 26.12.2019</t>
  </si>
  <si>
    <t>Объем: 4,234=423,4/100</t>
  </si>
  <si>
    <t>98,1</t>
  </si>
  <si>
    <t>Сайдинг металлический с полимерным покрытием</t>
  </si>
  <si>
    <t>ФССЦ-2001, 08.3.09.04-0019, приказ Минстроя России № 876/пр от 26.12.2019</t>
  </si>
  <si>
    <t>ФЕРр-2001, 61-2-7, приказ Минстроя России № 876/пр от 26.12.2019</t>
  </si>
  <si>
    <t>Ремонт штукатурки внутренних стен по камню и бетону цементно-известковым раствором, площадью отдельных мест: до 1 м2 толщиной слоя до 20 мм</t>
  </si>
  <si>
    <t>100,1</t>
  </si>
  <si>
    <t>ФЕРр-2001, 62-16-4, приказ Минстроя России № 876/пр от 26.12.2019</t>
  </si>
  <si>
    <t>Окрашивание водоэмульсионными составами поверхностей стен, ранее окрашенных: водоэмульсионной краской с расчисткой старой краски более 35%</t>
  </si>
  <si>
    <t>ФССЦ-2001, 14.3.02.01-0224, приказ Минстроя России № 876/пр от 26.12.2019</t>
  </si>
  <si>
    <t>ФЕР-2001, 09-03-048-01, приказ Минстроя России № 876/пр от 26.12.2019</t>
  </si>
  <si>
    <t>ФССЦ-2001, 07.2.07.13-0021, приказ Минстроя России № 876/пр от 26.12.2019</t>
  </si>
  <si>
    <t>ФЕР-2001 доп. 2, 15-01-047-15, приказ Минстроя России № 294/пр от 01.06.2020</t>
  </si>
  <si>
    <t>ФЕР-2001 доп. 2, 11-01-011-01, приказ Минстроя России № 294/пр от 01.06.2020</t>
  </si>
  <si>
    <t>ФЕР-2001 доп. 2, 11-01-011-02, приказ Минстроя России № 294/пр от 01.06.2020</t>
  </si>
  <si>
    <t>ФЕР-2001 доп. 1, 11-01-047-01, приказ Минстроя России № 172/пр от 30.03.2020</t>
  </si>
  <si>
    <t>59,2</t>
  </si>
  <si>
    <t>ФССЦ-2001, 14.3.01.02-0102, приказ Минстроя России № 876/пр от 26.12.2019</t>
  </si>
  <si>
    <t>Объем: 0,057=283,75*0,2/1000</t>
  </si>
  <si>
    <t>ФЕР-2001 доп. 2, 11-01-011-03, приказ Минстроя России № 294/пр от 01.06.2020</t>
  </si>
  <si>
    <t>ФЕР-2001 доп. 2, 11-01-011-04, приказ Минстроя России № 294/пр от 01.06.2020</t>
  </si>
  <si>
    <t>ФЕР-2001, 11-01-017-02, приказ Минстроя России № 876/пр от 26.12.2019</t>
  </si>
  <si>
    <t>71,1</t>
  </si>
  <si>
    <t>ФССЦ-2001, 04.3.01.06-0001, приказ Минстроя России № 876/пр от 26.12.2019</t>
  </si>
  <si>
    <t>ФЕР-2001, 01-02-061-01, приказ Минстроя России № 876/пр от 26.12.2019</t>
  </si>
  <si>
    <t>Засыпка вручную траншей, пазух котлованов и ям, группа грунтов: 1</t>
  </si>
  <si>
    <t>ФССЦ-2001, 02.3.01.02-1011, приказ Минстроя России № 876/пр от 26.12.2019</t>
  </si>
  <si>
    <t>Песок природный I класс, средний, круглые сита</t>
  </si>
  <si>
    <t>76,1</t>
  </si>
  <si>
    <t>78,1</t>
  </si>
  <si>
    <t>ФЕР-2001, 11-01-050-01, приказ Минстроя России № 876/пр от 26.12.2019</t>
  </si>
  <si>
    <t>82,1</t>
  </si>
  <si>
    <t>84,1</t>
  </si>
  <si>
    <t>86,1</t>
  </si>
  <si>
    <t>ФЕР-2001, 46-08-022-05, приказ Минстроя России № 876/пр от 26.12.2019</t>
  </si>
  <si>
    <t>Гидроизоляция набухающей самоклеящейся лентой: горизонтальных швов</t>
  </si>
  <si>
    <t>88,1</t>
  </si>
  <si>
    <t>ФССЦ-2001, 01.7.06.04-0003, приказ Минстроя России № 876/пр от 26.12.2019</t>
  </si>
  <si>
    <t>ФЕР-2001, 15-01-019-05, приказ Минстроя России № 876/пр от 26.12.2019</t>
  </si>
  <si>
    <t>90,1</t>
  </si>
  <si>
    <t>90,2</t>
  </si>
  <si>
    <t>90,3</t>
  </si>
  <si>
    <t>ФССЦ-2001, 04.3.02.09-0101, приказ Минстроя России № 876/пр от 26.12.2019</t>
  </si>
  <si>
    <t>ФССЦ-2001, 06.2.05.03-1002, приказ Минстроя России № 876/пр от 26.12.2019</t>
  </si>
  <si>
    <t>ФССЦ-2001, 14.1.06.04-0012, приказ Минстроя России № 876/пр от 26.12.2019</t>
  </si>
  <si>
    <t>ФЕР-2001, 09-04-012-01, приказ Минстроя России № 876/пр от 26.12.2019</t>
  </si>
  <si>
    <t>ФССЦ-2001, 01.7.04.07-0021, приказ Минстроя России № 876/пр от 26.12.2019</t>
  </si>
  <si>
    <t>ФССЦ-2001, 07.1.01.03-0001, приказ Минстроя России № 876/пр от 26.12.2019</t>
  </si>
  <si>
    <t>ФССЦ-2001, 07.1.01.03-0002, приказ Минстроя России № 876/пр от 26.12.2019</t>
  </si>
  <si>
    <t>ФЕР-2001, 09-04-011-01, приказ Минстроя России № 876/пр от 26.12.2019</t>
  </si>
  <si>
    <t>32,2</t>
  </si>
  <si>
    <t>ФССЦ-2001, 08.1.06.01-0012, приказ Минстроя России № 876/пр от 26.12.2019</t>
  </si>
  <si>
    <t>Ворота распашные ВР 3636-УХ Л1</t>
  </si>
  <si>
    <t>ФССЦ-2001, 08.1.06.01-0011, приказ Минстроя России № 876/пр от 26.12.2019</t>
  </si>
  <si>
    <t>Ворота распашные ВР 3030-УХ Л1</t>
  </si>
  <si>
    <t>ФЕР-2001, 09-08-007-01, приказ Минстроя России № 876/пр от 26.12.2019</t>
  </si>
  <si>
    <t>ФССЦ-2001, 08.1.06.01-0013, приказ Минстроя России № 876/пр от 26.12.2019</t>
  </si>
  <si>
    <t>Ворота распашные складчатые РСВ 3,6x3,6</t>
  </si>
  <si>
    <t>ФЕР-2001, 10-01-034-05, приказ Минстроя России № 876/пр от 26.12.2019</t>
  </si>
  <si>
    <t>ФССЦ-2001, 11.3.02.03-0005, приказ Минстроя России № 876/пр от 26.12.2019</t>
  </si>
  <si>
    <t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</si>
  <si>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>ФЕР-2001, 10-01-034-08, приказ Минстроя России № 876/пр от 26.12.2019</t>
  </si>
  <si>
    <t>ФССЦ-2001, 11.3.02.03-0028, приказ Минстроя России № 876/пр от 26.12.2019</t>
  </si>
  <si>
    <t>Блок оконный из ПВХ-профилей с листовым стеклом и стеклопакетом трехстворный с форточными створками ОПРСП 15-18, площадью 2,58 м2, ОПРСП 15-21, площадью 3,02 м2</t>
  </si>
  <si>
    <t>ФЕР-2001, 10-01-035-01, приказ Минстроя России № 876/пр от 26.12.2019</t>
  </si>
  <si>
    <t>ФССЦ-2001, 11.3.03.01-0007, приказ Минстроя России № 876/пр от 26.12.2019</t>
  </si>
  <si>
    <t>ФССЦ-2001, 11.3.03.14-1000, приказ Минстроя России № 876/пр от 26.12.2019</t>
  </si>
  <si>
    <t>ФЕР-2001, 15-01-050-04, приказ Минстроя России № 876/пр от 26.12.2019</t>
  </si>
  <si>
    <t>44,1</t>
  </si>
  <si>
    <t>44,2</t>
  </si>
  <si>
    <t>44,3</t>
  </si>
  <si>
    <t>ФССЦ-2001, 11.3.03.05-0014, приказ Минстроя России № 876/пр от 26.12.2019</t>
  </si>
  <si>
    <t>ФССЦ-2001, 14.1.06.01-0005, приказ Минстроя России № 876/пр от 26.12.2019</t>
  </si>
  <si>
    <t>ФССЦ-2001, 14.3.01.01-1014, приказ Минстроя России № 876/пр от 26.12.2019</t>
  </si>
  <si>
    <t>ФЕР-2001, 10-01-036-01, приказ Минстроя России № 876/пр от 26.12.2019</t>
  </si>
  <si>
    <t>ФССЦ-2001, 11.3.03.13-0044, приказ Минстроя России № 876/пр от 26.12.2019</t>
  </si>
  <si>
    <t>ФЕР-2001, 15-02-019-05, приказ Минстроя России № 876/пр от 26.12.2019</t>
  </si>
  <si>
    <t>ФССЦ-2001, 04.3.02.05-0002, приказ Минстроя России № 876/пр от 26.12.2019</t>
  </si>
  <si>
    <t>ФЕРр-2001, 58-20-1, приказ Минстроя России № 876/пр от 26.12.2019</t>
  </si>
  <si>
    <t>Смена обделок из листовой стали (поясков, сандриков, отливов, карнизов) шириной: до 0,4 м</t>
  </si>
  <si>
    <t>Сталь листовая оцинкованная</t>
  </si>
  <si>
    <t>53,2</t>
  </si>
  <si>
    <t>ФССЦ-2001, 08.1.02.03-0021, приказ Минстроя России № 876/пр от 26.12.2019</t>
  </si>
  <si>
    <t>Водоотлив оконный из оцинкованной стали с полимерным покрытием, ширина планки 250 мм</t>
  </si>
  <si>
    <t>ФЕР-2001, 08-02-002-03, приказ Минстроя России № 876/пр от 26.12.2019</t>
  </si>
  <si>
    <t>17,1</t>
  </si>
  <si>
    <t>17,2</t>
  </si>
  <si>
    <t>ФССЦ-2001, 06.1.01.05-0035, приказ Минстроя России № 876/пр от 26.12.2019</t>
  </si>
  <si>
    <t>ФЕР-2001, 15-02-016-03, приказ Минстроя России № 876/пр от 26.12.2019</t>
  </si>
  <si>
    <t>ФЕР-2001, 46-02-007-01, приказ Минстроя России № 876/пр от 26.12.2019</t>
  </si>
  <si>
    <t>Кладка отдельных участков кирпичных стен и заделка проемов в кирпичных стенах при объеме кладки в одном месте: до 5 м3</t>
  </si>
  <si>
    <t>21,1</t>
  </si>
  <si>
    <t>Объем: 2=(76*6,4/1000+13,2*0,001+0,24+3*0,03+1,175)</t>
  </si>
  <si>
    <t>ФЕР-2001, 46-04-001-04, приказ Минстроя России № 876/пр от 26.12.2019</t>
  </si>
  <si>
    <t>Разборка: кирпичных стен</t>
  </si>
  <si>
    <t>ФЕРр-2001, 63-10-1, приказ Минстроя России № 876/пр от 26.12.2019</t>
  </si>
  <si>
    <t>Разборка облицовки из гипсокартонных листов: стен и перегородок</t>
  </si>
  <si>
    <t>ФЕР-2001, 09-04-006-02, приказ Минстроя России № 876/пр от 26.12.2019</t>
  </si>
  <si>
    <t>ФЕР-2001, 15-02-041-02, приказ Минстроя России № 876/пр от 26.12.2019</t>
  </si>
  <si>
    <t>Объем: 0,132=(13,2)/100</t>
  </si>
  <si>
    <t>ФЕРр-2001, 56-1-1, приказ Минстроя России № 876/пр от 26.12.2019</t>
  </si>
  <si>
    <t>Демонтаж оконных коробок: в каменных стенах с отбивкой штукатурки в откосах</t>
  </si>
  <si>
    <t>ФЕРр-2001, 56-2-2, приказ Минстроя России № 876/пр от 26.12.2019</t>
  </si>
  <si>
    <t>Снятие оконных переплетов: остекленных</t>
  </si>
  <si>
    <t>Объем: 0,176=(1,25*1,35*1+1,85*1,35*5+1,3*1,3*2)/100</t>
  </si>
  <si>
    <t>ФЕР-2001, 08-04-002-03, приказ Минстроя России № 876/пр от 26.12.2019</t>
  </si>
  <si>
    <t>Объем: 0,003=(0,9*0,3)/100</t>
  </si>
  <si>
    <t>ФЕР-2001, 09-06-001-02, приказ Минстроя России № 876/пр от 26.12.2019</t>
  </si>
  <si>
    <t>ФЕР-2001, 46-04-011-08, приказ Минстроя России № 876/пр от 26.12.2019</t>
  </si>
  <si>
    <t>Разборка в зданиях и сооружения с агрессивными средами покрытий полов: из кирпича, уложенного на цементном кислотоупорном растворе или кислотоупорных замазках</t>
  </si>
  <si>
    <t>9,1</t>
  </si>
  <si>
    <t>ФЕРр-2001, 56-9-1, приказ Минстроя России № 876/пр от 26.12.2019</t>
  </si>
  <si>
    <t>Демонтаж дверных коробок: в каменных стенах с отбивкой штукатурки в откосах</t>
  </si>
  <si>
    <t>ФЕРр-2001, 56-10-1, приказ Минстроя России № 876/пр от 26.12.2019</t>
  </si>
  <si>
    <t>12,1</t>
  </si>
  <si>
    <t>Объем: 1,175=(0,3*3+0,1+0,1+0,075)</t>
  </si>
  <si>
    <t>ФССЦпг-2001, т03-21-01-002, приказ Минстроя России №876/пр от 26.12.2019</t>
  </si>
  <si>
    <t>Перевозка грузов I класса автомобилями-самосвалами грузоподъемностью 10 т работающих вне карьера на расстояние: до 2 км (до пункта приема металлолома)</t>
  </si>
  <si>
    <r>
      <t>Засыпка вручную траншей, пазух котлованов и ям, группа грунтов: 2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</si>
  <si>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Укладка трубопроводов из полиэтиленовых труб диаметром: 50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</si>
  <si>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основания под трубопроводы: песчаного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</si>
  <si>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Разработка грунта вручную с креплениями в траншеях шириной до 2 м, глубиной: до 2 м, группа грунтов 2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</si>
  <si>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внутренних трубопроводов канализации из полипропиленовых труб диаметром: 50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</si>
  <si>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Монтаж водонагревателей электрических накопительных (емкостных) объемом: до 50 л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</si>
  <si>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умывальников одиночных: с подводкой холодной и горячей воды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</si>
  <si>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Изоляция изделиями из вспененного каучука, вспененного полиэтилена трубопроводов наружным диметром: до 160 мм трубками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</si>
  <si>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 20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</si>
  <si>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 25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</si>
  <si>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Гидравлическое испытание трубопроводов систем отопления, водопровода и горячего водоснабжения диаметром: до 50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</si>
  <si>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трубопроводов водоснабжения из стальных водогазопроводных оцинкованных труб диаметром: 25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</si>
  <si>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t>ФЕР-2001, 16-04-004-01, приказ Минстроя России № 876/пр от 26.12.2019</t>
  </si>
  <si>
    <t>ФССЦ-2001, 24.3.02.02-0003, приказ Минстроя России № 876/пр от 26.12.2019</t>
  </si>
  <si>
    <t>ФССЦ-2001, 24.3.05.02-0101, приказ Минстроя России № 876/пр от 26.12.2019</t>
  </si>
  <si>
    <t>Заглушка полипропиленовая для систем водоотведения, диаметр 110 мм</t>
  </si>
  <si>
    <t>ФССЦ-2001, 24.3.05.15-0101, приказ Минстроя России № 876/пр от 26.12.2019</t>
  </si>
  <si>
    <t>ФССЦ-2001, 24.3.05.08-0201, приказ Минстроя России № 876/пр от 26.12.2019</t>
  </si>
  <si>
    <t>ФССЦ-2001, 24.3.05.08-0203, приказ Минстроя России № 876/пр от 26.12.2019</t>
  </si>
  <si>
    <t>ФССЦ-2001, 24.3.05.07-0148, приказ Минстроя России № 876/пр от 26.12.2019</t>
  </si>
  <si>
    <t>ФЕРм-2001, м11-02-001-01, приказ Минстроя России № 876/пр от 26.12.2019</t>
  </si>
  <si>
    <t>ФССЦ-2001, 19.3.01.06-0001, приказ Минстроя России № 876/пр от 26.12.2019</t>
  </si>
  <si>
    <t>ФЕРр-2001, 69-1-3, приказ Минстроя России № 876/пр от 26.12.2019</t>
  </si>
  <si>
    <t>Пробивка отверстий в кирпичных стенах для водогазопроводных труб вручную при толщине стен: в 1,5 кирпича</t>
  </si>
  <si>
    <t>52,1</t>
  </si>
  <si>
    <t>ФЕРр-2001, 69-4-1, приказ Минстроя России № 876/пр от 26.12.2019</t>
  </si>
  <si>
    <t>Заделка отверстий в местах прохода трубопроводов: в стенах и перегородках оштукатуренных</t>
  </si>
  <si>
    <t>ФЕР-2001, 01-02-055-02, приказ Минстроя России № 876/пр от 26.12.2019</t>
  </si>
  <si>
    <t>ФЕР-2001, 23-01-001-01, приказ Минстроя России № 876/пр от 26.12.2019</t>
  </si>
  <si>
    <t>ФССЦ-2001, 02.3.01.02-1012, приказ Минстроя России № 876/пр от 26.12.2019</t>
  </si>
  <si>
    <t>Песок природный II класс, средний, круглые сита</t>
  </si>
  <si>
    <t>ФЕР-2001, 22-01-021-01, приказ Минстроя России № 876/пр от 26.12.2019</t>
  </si>
  <si>
    <t>ФЕР-2001, 01-02-061-02, приказ Минстроя России № 876/пр от 26.12.2019</t>
  </si>
  <si>
    <t>ФЕР-2001, 17-01-001-14, приказ Минстроя России № 876/пр от 26.12.2019</t>
  </si>
  <si>
    <t>ФССЦ-2001, 18.2.01.05-0055, приказ Минстроя России № 876/пр от 26.12.2019</t>
  </si>
  <si>
    <t>Умывальники полуфарфоровые и фарфоровые с кронштейнами, сифоном бутылочным латунным и выпуском, овальные с выступающими установочными поверхностями без спинки, размер 600x500x150 мм</t>
  </si>
  <si>
    <t>ФССЦ-2001, 18.1.10.10-0044, приказ Минстроя России № 876/пр от 26.12.2019</t>
  </si>
  <si>
    <t>ФССЦ-2001, 18.2.06.12-0021, приказ Минстроя России № 876/пр от 26.12.2019</t>
  </si>
  <si>
    <t>ФЕР-2001, 18-02-004-01, приказ Минстроя России № 876/пр от 26.12.2019</t>
  </si>
  <si>
    <t>41,1</t>
  </si>
  <si>
    <t>ФССЦ-2001, 63.1.01.06-0112, приказ Минстроя России № 876/пр от 26.12.2019</t>
  </si>
  <si>
    <t>ФЕР-2001, 16-02-002-03, приказ Минстроя России № 876/пр от 26.12.2019</t>
  </si>
  <si>
    <t>ФССЦ-2001, 18.2.07.01-0006, приказ Минстроя России № 876/пр от 26.12.2019</t>
  </si>
  <si>
    <t>ФЕР-2001, 16-07-005-01, приказ Минстроя России № 876/пр от 26.12.2019</t>
  </si>
  <si>
    <t>ФЕР-2001 доп. 1, 16-04-005-02, приказ Минстроя России № 172/пр от 30.03.2020</t>
  </si>
  <si>
    <t>4,3</t>
  </si>
  <si>
    <t>Хомуты для крепления труб</t>
  </si>
  <si>
    <t>4,4</t>
  </si>
  <si>
    <t>Труба напорная из полипропилена</t>
  </si>
  <si>
    <t>ФССЦ-2001, 24.1.02.01-0113, приказ Минстроя России № 876/пр от 26.12.2019</t>
  </si>
  <si>
    <t>ФССЦ-2001, 24.3.02.05-0003, приказ Минстроя России № 876/пр от 26.12.2019</t>
  </si>
  <si>
    <t>ФССЦ-2001, 18.1.10.01-1074, приказ Минстроя России № 876/пр от 26.12.2019</t>
  </si>
  <si>
    <t>Вентиль запорный чугунный, номинальное давление 1,6 МПа (16 кгс/см2), номинальный диаметр 15 мм, с графитовым уплотнением, резьбовое присоединение 1/2"</t>
  </si>
  <si>
    <t>ФЕР-2001 доп. 1, 16-04-005-01, приказ Минстроя России № 172/пр от 30.03.2020</t>
  </si>
  <si>
    <t>8,3</t>
  </si>
  <si>
    <t>8,4</t>
  </si>
  <si>
    <t>ФССЦ-2001, 24.3.02.05-0014, приказ Минстроя России № 876/пр от 26.12.2019</t>
  </si>
  <si>
    <t>ФССЦ-2001, 18.1.09.06-0021, приказ Минстроя России № 876/пр от 26.12.2019</t>
  </si>
  <si>
    <t>ФССЦ-2001, 24.3.05.15-0191, приказ Минстроя России № 876/пр от 26.12.2019</t>
  </si>
  <si>
    <t>ФССЦ-2001, 24.3.05.15-0192, приказ Минстроя России № 876/пр от 26.12.2019</t>
  </si>
  <si>
    <t>ФССЦ-2001, 24.3.05.16-0111, приказ Минстроя России № 876/пр от 26.12.2019</t>
  </si>
  <si>
    <t>ФССЦ-2001, 24.3.05.07-0131, приказ Минстроя России № 876/пр от 26.12.2019</t>
  </si>
  <si>
    <t>ФССЦ-2001, 24.3.05.07-0032, приказ Минстроя России № 876/пр от 26.12.2019</t>
  </si>
  <si>
    <t>ФССЦ-2001, 24.3.05.07-0062, приказ Минстроя России № 876/пр от 26.12.2019</t>
  </si>
  <si>
    <t>ФЕР-2001, 26-01-017-01, приказ Минстроя России № 876/пр от 26.12.2019</t>
  </si>
  <si>
    <t>ФССЦ-2001, 12.2.07.05-0111, приказ Минстроя России № 876/пр от 26.12.2019</t>
  </si>
  <si>
    <t>23,3</t>
  </si>
  <si>
    <t>23,4</t>
  </si>
  <si>
    <t>ФССЦ-2001, 18.1.04.06-0031, приказ Минстроя России № 876/пр от 26.12.2019</t>
  </si>
  <si>
    <t>34,1</t>
  </si>
  <si>
    <t>ФССЦ-2001, 12.2.07.05-0110, приказ Минстроя России № 876/пр от 26.12.2019</t>
  </si>
  <si>
    <r>
      <t>Выключатель автоматический ВА47-100 3Р 100А 10кА характеристика C</t>
    </r>
    <r>
      <rPr>
        <i/>
        <sz val="10"/>
        <rFont val="Arial"/>
        <family val="2"/>
        <charset val="204"/>
      </rPr>
      <t xml:space="preserve">
Базисная стоимость: 369,82 = [1 828,4 / 1,2 /  4,12]</t>
    </r>
  </si>
  <si>
    <r>
      <t>Выключатель автоматический ВА47-150 3Р 125А 15кА характеристика C</t>
    </r>
    <r>
      <rPr>
        <i/>
        <sz val="10"/>
        <rFont val="Arial"/>
        <family val="2"/>
        <charset val="204"/>
      </rPr>
      <t xml:space="preserve">
Базисная стоимость: 885,11 = [4 376 / 1,2 /  4,12]</t>
    </r>
  </si>
  <si>
    <t>Прайс №2</t>
  </si>
  <si>
    <r>
      <t>Щит заводского изготовления однорядный или двухрядный: шкафного исполнения, глубина до 600 мм</t>
    </r>
    <r>
      <rPr>
        <i/>
        <sz val="10"/>
        <rFont val="Arial"/>
        <family val="2"/>
        <charset val="204"/>
      </rPr>
      <t xml:space="preserve">
Поправки к: 
МР )*0;   
ЭММ )*0,3;   
ЗПМ )*0,3;   
ОЗП )*0,3;   
Труд.Стр. )*0,3;   
Труд.Маш. )*0,3</t>
    </r>
  </si>
  <si>
    <t>электромонтажные работы</t>
  </si>
  <si>
    <t>ФЕРм-2001, м08-02-403-03, приказ Минстроя России № 876/пр от 26.12.2019</t>
  </si>
  <si>
    <t>Провод групповой в защитной оболочке или кабель трех-пятижильный: под штукатурку по стенам или в бороздах</t>
  </si>
  <si>
    <t>ФССЦ-2001, 21.1.06.09-0177, приказ Минстроя России № 876/пр от 26.12.2019</t>
  </si>
  <si>
    <t>ФССЦ-2001, 21.1.06.09-0152, приказ Минстроя России № 876/пр от 26.12.2019</t>
  </si>
  <si>
    <t>ФССЦ-2001, 21.1.06.09-0151, приказ Минстроя России № 876/пр от 26.12.2019</t>
  </si>
  <si>
    <t>ФССЦ-2001, 21.1.06.10-0167, приказ Минстроя России № 876/пр от 26.12.2019</t>
  </si>
  <si>
    <t>Кабель силовой с медными жилами ВВГнг(A)-FRLS 3х1,5ок-1000</t>
  </si>
  <si>
    <t>ФССЦ-2001, 21.1.08.03-0517, приказ Минстроя России № 876/пр от 26.12.2019</t>
  </si>
  <si>
    <t>ФЕР-2001, 46-03-015-02, приказ Минстроя России № 876/пр от 26.12.2019</t>
  </si>
  <si>
    <t>Устройство в кирпичных стенах борозд с использованием штробореза площадью сечения: свыше 20 см2 до 50 см2</t>
  </si>
  <si>
    <t>ФЕРм-2001, м08-02-407-07, приказ Минстроя России № 876/пр от 26.12.2019</t>
  </si>
  <si>
    <t>Труба стальная по установленным конструкциям, в готовых бороздах, по основанию пола, диаметр: до 40 мм</t>
  </si>
  <si>
    <t>ФССЦ-2001, 23.5.02.02-0025, приказ Минстроя России № 876/пр от 26.12.2019</t>
  </si>
  <si>
    <t>Объем: 15,45=15*1,03</t>
  </si>
  <si>
    <t>ФЕРм-2001, м08-05-038-01, приказ Минстроя России № 876/пр от 26.12.2019</t>
  </si>
  <si>
    <t>Кабель в проложенных трубах, масса 1 м: до 1 кг</t>
  </si>
  <si>
    <t>ФССЦ-2001, 21.1.06.09-0175, приказ Минстроя России № 876/пр от 26.12.2019</t>
  </si>
  <si>
    <t>Объем: 0,0153=(15*1,02)/1000</t>
  </si>
  <si>
    <t>ФЕРм-2001, м08-02-412-02, приказ Минстроя России № 876/пр от 26.12.2019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</si>
  <si>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</si>
  <si>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ФССЦ-2001, 21.1.06.04-0101, приказ Минстроя России № 876/пр от 26.12.2019</t>
  </si>
  <si>
    <t>ФЕРм-2001, м08-02-409-09, приказ Минстроя России № 876/пр от 26.12.2019</t>
  </si>
  <si>
    <t>ФССЦ-2001, 24.3.01.02-0001, приказ Минстроя России № 876/пр от 26.12.2019</t>
  </si>
  <si>
    <t>ФССЦ-2001, 20.2.05.02-0011, приказ Минстроя России № 876/пр от 26.12.2019</t>
  </si>
  <si>
    <t>ФЕРм-2001, м08-02-390-03, приказ Минстроя России № 876/пр от 26.12.2019</t>
  </si>
  <si>
    <t>Короба пластмассовые: шириной до 120 мм</t>
  </si>
  <si>
    <t>ФССЦ-2001, 20.2.05.05-0002, приказ Минстроя России № 876/пр от 26.12.2019</t>
  </si>
  <si>
    <t>Кабель-канал 190х60х2000 мм с крышкой</t>
  </si>
  <si>
    <t>ФССЦ-2001, 20.2.05.09-0041, приказ Минстроя России № 876/пр от 26.12.2019</t>
  </si>
  <si>
    <t>Угол внутренний изменяемый для кабель-канала 130x60 мм</t>
  </si>
  <si>
    <t>ФССЦ-2001, 20.2.05.09-0021, приказ Минстроя России № 876/пр от 26.12.2019</t>
  </si>
  <si>
    <t>ФССЦ-2001, 20.2.05.03-0012, приказ Минстроя России № 876/пр от 26.12.2019</t>
  </si>
  <si>
    <t>Заглушка торцевая для кабель-канала 190x60 мм</t>
  </si>
  <si>
    <t>ФЕРм-2001, м08-02-399-04, приказ Минстроя России № 876/пр от 26.12.2019</t>
  </si>
  <si>
    <t>Провод в коробах, сечением: до 120 мм2</t>
  </si>
  <si>
    <t>ФССЦ-2001, 21.1.06.09-0182, приказ Минстроя России № 876/пр от 26.12.2019</t>
  </si>
  <si>
    <t>ФЕРм-2001, м08-02-399-02, приказ Минстроя России № 876/пр от 26.12.2019</t>
  </si>
  <si>
    <t>Провод в коробах, сечением: до 35 мм2</t>
  </si>
  <si>
    <t>ФЕРм-2001, м08-02-399-01, приказ Минстроя России № 876/пр от 26.12.2019</t>
  </si>
  <si>
    <t>Провод в коробах, сечением: до 6 мм2</t>
  </si>
  <si>
    <t>ФЕРм-2001, м08-02-472-02, приказ Минстроя России № 876/пр от 26.12.2019</t>
  </si>
  <si>
    <t>Заземлитель горизонтальный из стали: полосовой сечением 160 мм2</t>
  </si>
  <si>
    <t>ФССЦ-2001, 08.3.07.01-0047, приказ Минстроя России № 876/пр от 26.12.2019</t>
  </si>
  <si>
    <t>ФЕРм-2001, м08-02-471-01, приказ Минстроя России № 876/пр от 26.12.2019</t>
  </si>
  <si>
    <t>Заземлитель вертикальный из угловой стали размером: 50х50х5 мм</t>
  </si>
  <si>
    <t>ФССЦ-2001, 08.3.08.03-0011, приказ Минстроя России № 876/пр от 26.12.2019</t>
  </si>
  <si>
    <t>ФЕРр-2001, 67-4-5, приказ Минстроя России № 876/пр от 26.12.2019</t>
  </si>
  <si>
    <t>Демонтаж: светильников для люминесцентных ламп</t>
  </si>
  <si>
    <t>Объем: 0,56=56/100</t>
  </si>
  <si>
    <t>ФЕРм-2001, м08-03-593-07, приказ Минстроя России № 876/пр от 26.12.2019</t>
  </si>
  <si>
    <t>Светильник потолочный или настенный с креплением винтами или болтами для помещений: с нормальными условиями среды, двухламповый</t>
  </si>
  <si>
    <t>ФССЦ-2001, 20.3.03.04-0110, приказ Минстроя России № 876/пр от 26.12.2019</t>
  </si>
  <si>
    <t>Светильник потолочный, типа ЛПО 44-2x36-003/013 с ЭПРА</t>
  </si>
  <si>
    <t>ФССЦ-2001, 20.3.03.04-0068, приказ Минстроя России № 876/пр от 26.12.2019</t>
  </si>
  <si>
    <t>Светильник ЛСП 44-2x36-013 с ЭПРА</t>
  </si>
  <si>
    <t>ФССЦ-2001, 20.3.03.04-0133, приказ Минстроя России № 876/пр от 26.12.2019</t>
  </si>
  <si>
    <t>Светильник потолочный с рассеивателем из полистирола, типа ЛПО 46-2x18-003 (004)</t>
  </si>
  <si>
    <t>ФЕРм-2001, м08-03-594-06, приказ Минстроя России № 876/пр от 26.12.2019</t>
  </si>
  <si>
    <t>Светильник отдельно устанавливаемый: на подвесах (штангах) с количеством ламп в светильнике 1</t>
  </si>
  <si>
    <t>ФССЦ-2001, 20.3.03.04-0079, приказ Минстроя России № 876/пр от 26.12.2019</t>
  </si>
  <si>
    <t>Светильник подвесной пластмассовый пылевлагозащищенный без отражателя и экранирующей решетки, типа ПВЛМ-П 40-001</t>
  </si>
  <si>
    <t>ФЕРм-2001, м08-03-593-06, приказ Минстроя России № 876/пр от 26.12.2019</t>
  </si>
  <si>
    <t>Светильник потолочный или настенный с креплением винтами или болтами для помещений: с нормальными условиями среды, одноламповый</t>
  </si>
  <si>
    <t>ФССЦ-2001, 20.3.03.03-0029, приказ Минстроя России № 876/пр от 26.12.2019</t>
  </si>
  <si>
    <t>Светильник НПБ 1102 белый/круг с решеткой 100Вт IP44 ИЭК</t>
  </si>
  <si>
    <t>ФССЦ-2001, 20.3.02.10-0012, приказ Минстроя России № 876/пр от 26.12.2019</t>
  </si>
  <si>
    <t>Лампы накаливания общего назначения местного и наружного освещения ЛОН 300 (E27)</t>
  </si>
  <si>
    <t>ФЕРм-2001, м08-03-593-10, приказ Минстроя России № 876/пр от 26.12.2019</t>
  </si>
  <si>
    <t>ФССЦ-2001, 20.3.03.04-0013, приказ Минстроя России № 876/пр от 26.12.2019</t>
  </si>
  <si>
    <t>ФЕРр-2001, 67-4-1, приказ Минстроя России № 876/пр от 26.12.2019</t>
  </si>
  <si>
    <t>Демонтаж: выключателей, розеток</t>
  </si>
  <si>
    <t>Объем: 0,52=52/100</t>
  </si>
  <si>
    <t>ФЕРм-2001, м08-03-591-02, приказ Минстроя России № 876/пр от 26.12.2019</t>
  </si>
  <si>
    <t>Выключатель: одноклавишный утопленного типа при скрытой проводке</t>
  </si>
  <si>
    <t>ФССЦ-2001, 20.4.01.02-0021, приказ Минстроя России № 876/пр от 26.12.2019</t>
  </si>
  <si>
    <t>ФЕРм-2001, м08-03-591-05, приказ Минстроя России № 876/пр от 26.12.2019</t>
  </si>
  <si>
    <t>Выключатель: двухклавишный утопленного типа при скрытой проводке</t>
  </si>
  <si>
    <t>ФССЦ-2001, 20.4.01.02-0001, приказ Минстроя России № 876/пр от 26.12.2019</t>
  </si>
  <si>
    <t>ФЕРм-2001, м08-03-591-09, приказ Минстроя России № 876/пр от 26.12.2019</t>
  </si>
  <si>
    <t>Розетка штепсельная: утопленного типа при скрытой проводке</t>
  </si>
  <si>
    <t>ФССЦ-2001, 20.4.03.06-0002, приказ Минстроя России № 876/пр от 26.12.2019</t>
  </si>
  <si>
    <t>Розетка РС16-126 Б IP44 для скрытой проводки с заземляющими контактами</t>
  </si>
  <si>
    <t>ФЕРм-2001, м08-03-591-08, приказ Минстроя России № 876/пр от 26.12.2019</t>
  </si>
  <si>
    <t>Розетка штепсельная: неутопленного типа при открытой проводке</t>
  </si>
  <si>
    <t>ФССЦ-2001, 20.4.03.06-0001, приказ Минстроя России № 876/пр от 26.12.2019</t>
  </si>
  <si>
    <t>Розетка для скрытой проводки на 2 модуля 16А 250В с заземлением и крышкой</t>
  </si>
  <si>
    <t>ФССЦ-2001, 20.5.02.11-0041, приказ Минстроя России № 876/пр от 26.12.2019</t>
  </si>
  <si>
    <t>ФССЦ-2001, 20.5.02.10-0011, приказ Минстроя России № 876/пр от 26.12.2019</t>
  </si>
  <si>
    <t>ФЕРм-2001, м08-03-532-04, приказ Минстроя России № 876/пр от 26.12.2019</t>
  </si>
  <si>
    <t>Пост управления кнопочный общего назначения, устанавливаемый на конструкции: на стене или колонне, количество элементов поста до 3</t>
  </si>
  <si>
    <t>ФССЦ-2001, 62.2.01.02-0006, приказ Минстроя России № 876/пр от 26.12.2019</t>
  </si>
  <si>
    <t>Панели с кожухом к постам управления : ПКУ15-21.161-54 У2</t>
  </si>
  <si>
    <t>ФЕРм-2001, м08-03-571-04, приказ Минстроя России № 876/пр от 26.12.2019</t>
  </si>
  <si>
    <t>Щит заводского изготовления однорядный или двухрядный: шкафного исполнения, глубина до 600 мм</t>
  </si>
  <si>
    <t>Объем: 1,31=(0,6+0,4+0,31)</t>
  </si>
  <si>
    <t>ФССЦ-2001, 20.4.04.02-0029, приказ Минстроя России № 876/пр от 26.12.2019</t>
  </si>
  <si>
    <t>Щиты распределительные навесные ЩРН-72, 2 двери, размер 480х565х125 мм</t>
  </si>
  <si>
    <t>ФССЦ-2001, 20.4.04.03-0004, приказ Минстроя России № 876/пр от 26.12.2019</t>
  </si>
  <si>
    <t>Щиты с монтажной панелью ЩМП-2, размером 500x400x220 мм, степень защиты IP54</t>
  </si>
  <si>
    <t>ФССЦ-2001, 20.4.04.03-0002, приказ Минстроя России № 876/пр от 26.12.2019</t>
  </si>
  <si>
    <t>ФЕРм-2001, м08-01-080-04, приказ Минстроя России № 876/пр от 26.12.2019</t>
  </si>
  <si>
    <t>ФССЦ-2001, 62.1.01.09-0018, приказ Минстроя России № 876/пр от 26.12.2019</t>
  </si>
  <si>
    <t>ФССЦ-2001, 62.1.01.09-0019, приказ Минстроя России № 876/пр от 26.12.2019</t>
  </si>
  <si>
    <t>Выключатели автоматические: «IEK» ВА47-29 3Р 40А, характеристика С</t>
  </si>
  <si>
    <t>ФССЦ-2001, 62.1.01.09-0017, приказ Минстроя России № 876/пр от 26.12.2019</t>
  </si>
  <si>
    <t>ФССЦ-2001, 62.1.01.09-0005, приказ Минстроя России № 876/пр от 26.12.2019</t>
  </si>
  <si>
    <t>ФССЦ-2001, 62.1.01.09-0004, приказ Минстроя России № 876/пр от 26.12.2019</t>
  </si>
  <si>
    <t>ФССЦ-2001, 62.1.01.02-0011, приказ Минстроя России № 876/пр от 26.12.2019</t>
  </si>
  <si>
    <t>Выключатели автоматические: дифференциального тока двухполюсные АД12 2Р 25А 30мА</t>
  </si>
  <si>
    <t>ФССЦ-2001, 62.6.01.05-0134, приказ Минстроя России № 876/пр от 26.12.2019</t>
  </si>
  <si>
    <t>Контакторы электромагнитные: КУВ10А</t>
  </si>
  <si>
    <t>ФССЦ-2001, 62.1.02.07-0031, приказ Минстроя России № 876/пр от 26.12.2019</t>
  </si>
  <si>
    <t>ФЕРм-2001, м08-01-080-01, приказ Минстроя России № 876/пр от 26.12.2019</t>
  </si>
  <si>
    <t>Прибор измерения и защиты, количество подключаемых концов: до 2</t>
  </si>
  <si>
    <t>ФССЦ-2001, 62.1.04.11-0024, приказ Минстроя России № 876/пр от 26.12.2019</t>
  </si>
  <si>
    <t>Реле электротепловые токовые: ТРТ-130</t>
  </si>
  <si>
    <t>ФЕРм-2001, м08-02-397-01, приказ Минстроя России № 876/пр от 26.12.2019</t>
  </si>
  <si>
    <t>ФССЦ-2001, 20.2.08.01-0004, приказ Минстроя России № 876/пр от 26.12.2019</t>
  </si>
  <si>
    <t>DIN-рейка оцинкованная 600 мм</t>
  </si>
  <si>
    <t>ФССЦ-2001, 20.5.03.03-0006, приказ Минстроя России № 876/пр от 26.12.2019</t>
  </si>
  <si>
    <t>Шины соединительные типа PI№ (штырь) двухрядные длиной 1000 мм 63А</t>
  </si>
  <si>
    <t>ФЕРм-2001, м08-03-603-01, приказ Минстроя России № 876/пр от 26.12.2019</t>
  </si>
  <si>
    <t>ФССЦ-2001, 62.1.02.22-0011, приказ Минстроя России № 876/пр от 26.12.2019</t>
  </si>
  <si>
    <t>ФЕРм-2001, м08-03-524-01, приказ Минстроя России № 876/пр от 26.12.2019</t>
  </si>
  <si>
    <t>Ящик с одним двухполюсным рубильником, или с двухполюсным рубильником и двумя предохранителями, или с двумя блоками "предохранитель-выключатель", или с двумя предохранителями, устанавливаемый на конструкции на полу, на ток: до 100 А</t>
  </si>
  <si>
    <t>ФССЦ-2001, 62.1.02.22-0111, приказ Минстроя России № 876/пр от 26.12.2019</t>
  </si>
  <si>
    <t>Ящики распределительные постоянного тока, тип ЯРВ-100 А, с трехполюсными рубильниками и предохранителями</t>
  </si>
  <si>
    <r>
      <t>Демонтаж. 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</t>
    </r>
    <r>
      <rPr>
        <i/>
        <sz val="10"/>
        <rFont val="Arial"/>
        <family val="2"/>
        <charset val="204"/>
      </rPr>
      <t xml:space="preserve">
Поправки к: 
МР )*0;   
ЭММ )*0,3;   
ЗПМ )*0,3;   
ОЗП )*0,3;   
Труд.Стр. )*0,3;   
Труд.Маш. )*0,3</t>
    </r>
  </si>
  <si>
    <r>
      <t>Демонтаж. Извещатель ПС автоматический: тепловой электро-контактный, магнитоконтактный в нормальном исполнении</t>
    </r>
    <r>
      <rPr>
        <i/>
        <sz val="10"/>
        <rFont val="Arial"/>
        <family val="2"/>
        <charset val="204"/>
      </rPr>
      <t xml:space="preserve">
Поправки к: 
МР )*0;   
ЭММ )*0,3;   
ЗПМ )*0,3;   
ОЗП )*0,3;   
Труд.Стр. )*0,3;   
Труд.Маш. )*0,3</t>
    </r>
  </si>
  <si>
    <t>пожарная сигнализация</t>
  </si>
  <si>
    <t>ФЕРм-2001, м08-02-390-01, приказ Минстроя России № 876/пр от 26.12.2019</t>
  </si>
  <si>
    <t>Короба пластмассовые: шириной до 40 мм</t>
  </si>
  <si>
    <t>ФССЦ-2001, 20.2.05.03-0001, приказ Минстроя России № 876/пр от 26.12.2019</t>
  </si>
  <si>
    <t>ФССЦ-2001, 20.2.05.04-0023, приказ Минстроя России № 876/пр от 26.12.2019</t>
  </si>
  <si>
    <t>Объем: 632,4=620*1,02</t>
  </si>
  <si>
    <t>ФССЦ-2001, 20.2.05.09-0011, приказ Минстроя России № 876/пр от 26.12.2019</t>
  </si>
  <si>
    <t>ФССЦ-2001, 20.2.05.09-0061, приказ Минстроя России № 876/пр от 26.12.2019</t>
  </si>
  <si>
    <t>ФССЦ-2001, 20.5.02.03-0003, приказ Минстроя России № 876/пр от 26.12.2019</t>
  </si>
  <si>
    <t>ФССЦ-2001 доп.1, 21.1.08.01-0151, приказ Минстроя России № 172/пр от 30.03.2020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</si>
  <si>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 FRLS 1х2х0,75</t>
  </si>
  <si>
    <t>ФССЦ-2001 доп.1, 21.1.08.01-0156, приказ Минстроя России № 172/пр от 30.03.2020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</si>
  <si>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КПСЭСнг- FRLS 1х2х0,5</t>
  </si>
  <si>
    <t>Объем: 0,255=(250*1,02)/1000</t>
  </si>
  <si>
    <t>ФЕРм-2001, м10-08-002-01, приказ Минстроя России № 876/пр от 26.12.2019</t>
  </si>
  <si>
    <t>Извещатель ПС автоматический: тепловой электро-контактный, магнитоконтактный в нормальном исполнении</t>
  </si>
  <si>
    <t>ФССЦ-2001, 61.2.02.02-0011, приказ Минстроя России № 876/пр от 26.12.2019</t>
  </si>
  <si>
    <t>ФЕРм-2001, м08-01-081-01, приказ Минстроя России № 876/пр от 26.12.2019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</si>
  <si>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</t>
  </si>
  <si>
    <t>ФССЦ-2001, 61.2.02.03-0015, приказ Минстроя России № 876/пр от 26.12.2019</t>
  </si>
  <si>
    <t>ФЕРм-2001, м10-08-002-02, приказ Минстроя России № 876/пр от 26.12.2019</t>
  </si>
  <si>
    <t>Извещатель ПС автоматический: дымовой, фотоэлектрический, радиоизотопный, световой в нормальном исполнении</t>
  </si>
  <si>
    <t>ФССЦ-2001, 61.2.02.01-0078, приказ Минстроя России № 876/пр от 26.12.2019</t>
  </si>
  <si>
    <t>Извещатель пожарный дымовой: ИП 212-63 "Данко"</t>
  </si>
  <si>
    <t>Демонтажные работы</t>
  </si>
  <si>
    <t>Поправка: МР 519/пр Табл.3, п.4  Наименование: Демонтаж: Оборудование, не пригодное для дальнейшего использования, (предназначено в лом) без разборки и резки</t>
  </si>
  <si>
    <t>ФЕРр-2001, 67-3-1, приказ Минстроя России № 876/пр от 26.12.2019</t>
  </si>
  <si>
    <t>Демонтаж кабеля</t>
  </si>
  <si>
    <t>ФЕРм-2001, м10-08-001-07, приказ Минстроя России № 876/пр от 26.12.2019</t>
  </si>
  <si>
    <t>Приборы приемно-контрольные сигнальные, концентратор: блок линейный</t>
  </si>
  <si>
    <t>ФССЦ-2001, 61.2.06.01-0051, приказ Минстроя России № 876/пр от 26.12.2019</t>
  </si>
  <si>
    <t>ФЕРм-2001, м08-01-121-01, приказ Минстроя России № 876/пр от 26.12.2019</t>
  </si>
  <si>
    <t>Аккумулятор кислотный стационарный, тип: С-1, СК-1</t>
  </si>
  <si>
    <t>ФССЦ-2001, 62.4.01.01-0006, приказ Минстроя России № 876/пр от 26.12.2019</t>
  </si>
  <si>
    <t>ФЕРм-2001, м10-01-039-06, приказ Минстроя России № 876/пр от 26.12.2019</t>
  </si>
  <si>
    <t>ФССЦ-2001, 61.2.07.02-0059, приказ Минстроя России № 876/пр от 26.12.2019</t>
  </si>
  <si>
    <t>Блок реле выносной, марка "ВЭРС-БР8У"</t>
  </si>
  <si>
    <t>Извещатель пожарный ручной: ИП 535-7</t>
  </si>
  <si>
    <t>ФССЦ-2001, 61.2.02.01-0001, приказ Минстроя России № 876/пр от 26.12.2019</t>
  </si>
  <si>
    <t>Извещатель адресный пожарный дымовой ИП212-60А «Leonardo-О», без базы</t>
  </si>
  <si>
    <t>ФЕРм-2001, м10-04-101-07, приказ Минстроя России № 876/пр от 26.12.2019</t>
  </si>
  <si>
    <t>Громкоговоритель или звуковая колонка: в помещении</t>
  </si>
  <si>
    <t>ФССЦ-2001, 61.2.04.05-0020, приказ Минстроя России № 876/пр от 26.12.2019</t>
  </si>
  <si>
    <t>Оповещатель охранно-пожарный звуковой, 105 дБ</t>
  </si>
  <si>
    <t>ФЕРм-2001, м10-08-001-05, приказ Минстроя России № 876/пр от 26.12.2019</t>
  </si>
  <si>
    <t>Приборы ПС на: 1 луч</t>
  </si>
  <si>
    <t>ФССЦ-2001, 61.2.07.04-0051, приказ Минстроя России № 876/пр от 26.12.2019</t>
  </si>
  <si>
    <t>ФССЦ-2001, 62.1.02.09-0013, приказ Минстроя России № 876/пр от 26.12.2019</t>
  </si>
  <si>
    <r>
      <t>Нанесение весьма усиленной антикоррозионной битумно-резиновой или битумно-полимерной изоляции на стальные трубопроводы диаметром 300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</si>
  <si>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трубопроводов отопления и водоснабжения из стальных электросварных труб диаметром 250 мм для гильз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</si>
  <si>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трубопроводов отопления и водоснабжения из стальных электросварных труб диаметром 300 мм - для футляра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</si>
  <si>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Засыпка вручную траншей, пазух котлованов и ям, группа грунтов 1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</si>
  <si>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Монтаж опорных конструкций для крепления трубопроводов внутри зданий и сооружений массой до 0,1 т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</si>
  <si>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Гидравлическое испытание трубопроводов систем отопления, водопровода и горячего водоснабжения диаметром до 50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</si>
  <si>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Изопрофлекс-115А 63/110 мм</t>
    </r>
    <r>
      <rPr>
        <i/>
        <sz val="10"/>
        <rFont val="Arial"/>
        <family val="2"/>
        <charset val="204"/>
      </rPr>
      <t xml:space="preserve">
Базисная стоимость: 676,76 = [5 522,4 / 1,2 /  6,8]</t>
    </r>
  </si>
  <si>
    <r>
      <t>Прокладка трубопроводов водоснабжения из напорных полиэтиленовых труб наружным диаметром: 32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</si>
  <si>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Устройство основания под трубопроводы песчаного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</si>
  <si>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Разработка грунта вручную с креплениями в траншеях шириной до 2 м, глубиной до 2 м, группа грунтов 2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</si>
  <si>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Изоляция трубопроводов конструкциями теплоизоляционными комплектными на основе цилиндров минераловатных на синтетическом связующем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</si>
  <si>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Окраска металлических огрунтованных поверхностей краской БТ-177 серебристой</t>
    </r>
    <r>
      <rPr>
        <i/>
        <sz val="10"/>
        <rFont val="Arial"/>
        <family val="2"/>
        <charset val="204"/>
      </rPr>
      <t xml:space="preserve">
Поправки к: 
МР *2;   
ЭММ )*1,25*2;   
ЗПМ )*1,25*2;   
ОЗП )*1,15*2)*1,1;   
Труд.Стр. )*1,15*2)*1,1;   
Труд.Маш. )*1,25*2</t>
    </r>
  </si>
  <si>
    <r>
      <t>Огрунтовка металлических поверхностей за один раз грунтовкой ГФ-021</t>
    </r>
    <r>
      <rPr>
        <i/>
        <sz val="10"/>
        <rFont val="Arial"/>
        <family val="2"/>
        <charset val="204"/>
      </rPr>
      <t xml:space="preserve">
Поправки к: 
ЭММ )*1,25;   
ЗПМ )*1,25;   
ОЗП )*1,15)*1,1;   
Труд.Стр. )*1,15)*1,1;   
Труд.Маш. )*1,25</t>
    </r>
  </si>
  <si>
    <r>
      <t>Установка воздухоотводчиков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</si>
  <si>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вентилей, задвижек, затворов, клапанов обратных, кранов проходных на трубопроводах из стальных труб диаметром до 25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</si>
  <si>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вентилей, задвижек, затворов, клапанов обратных, кранов проходных на трубопроводах из стальных труб диаметром до 50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</si>
  <si>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трубопроводов отопления из стальных водогазопроводных неоцинкованных труб диаметром 25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</si>
  <si>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трубопроводов отопления из стальных водогазопроводных неоцинкованных труб диаметром 32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</si>
  <si>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трубопроводов отопления из стальных водогазопроводных неоцинкованных труб диаметром 40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</si>
  <si>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трубопроводов отопления и водоснабжения из стальных электросварных труб диаметром 50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</si>
  <si>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воздуховодов из листовой, оцинкованной стали и алюминия класса Н (нормальные) толщиной 0,6 мм, диаметром до 250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</si>
  <si>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воздуховодов из листовой, оцинкованной стали и алюминия класса Н (нормальные) толщиной 0,5 мм, диаметром до 200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</si>
  <si>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Вытяжная катушка Filcar ACA-125/10-COMP</t>
    </r>
    <r>
      <rPr>
        <i/>
        <sz val="10"/>
        <rFont val="Arial"/>
        <family val="2"/>
        <charset val="204"/>
      </rPr>
      <t xml:space="preserve">
Базисная стоимость: 37 235,84 = [184 094 / 1,2 /  4,12]</t>
    </r>
  </si>
  <si>
    <r>
      <t>Установка дефлекторов диаметром патрубка 280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</si>
  <si>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зонтов над шахтами из листовой стали прямоугольного сечения периметром 1000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</si>
  <si>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Прокладка воздуховодов из листовой, оцинкованной стали и алюминия класса Н (нормальные) толщиной 0,5 мм, периметром до 1000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</si>
  <si>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Прокладка воздуховодов из листовой, оцинкованной стали и алюминия класса Н (нормальные) толщиной 0,5 мм, периметром до 600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</si>
  <si>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решеток жалюзийных стальных регулирующих (РР), номер 4, размер 200х400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</si>
  <si>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зонтов над шахтами из листовой стали круглого сечения диаметром 250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</si>
  <si>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вентиляторов радиальных массой до 0,05 т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</si>
  <si>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клапанов огнезадерживающих с ручной регулировкой периметром до 1600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</si>
  <si>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клапанов обратных диаметром до 355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</si>
  <si>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зонтов над шахтами из листовой стали круглого сечения диаметром 200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</si>
  <si>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Прокладка воздуховодов из листовой, оцинкованной стали и алюминия класса Н (нормальные) толщиной 0,6 мм, диаметром до 355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</si>
  <si>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решеток жалюзийных стальных регулирующих (РР), номер 5, размер 200х600 мм прим к SK-4/V-F 425х225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</si>
  <si>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зонтов над шахтами из листовой стали круглого сечения диаметром 315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</si>
  <si>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Прокладка воздуховодов из листовой, оцинкованной стали и алюминия класса Н (нормальные) толщиной: 0,7 мм, периметром от 1100 до 1600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</si>
  <si>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решеток жалюзийных площадью в свету до 0,5 м2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</si>
  <si>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Шкаф автоматики ВМ-W-SM135-G220-P1</t>
    </r>
    <r>
      <rPr>
        <i/>
        <sz val="10"/>
        <rFont val="Arial"/>
        <family val="2"/>
        <charset val="204"/>
      </rPr>
      <t xml:space="preserve">
Базисная стоимость: 10 436,89 = [51 600 / 1,2 /  4,12]</t>
    </r>
  </si>
  <si>
    <r>
      <t>Термостат защиты от замерзания</t>
    </r>
    <r>
      <rPr>
        <i/>
        <sz val="10"/>
        <rFont val="Arial"/>
        <family val="2"/>
        <charset val="204"/>
      </rPr>
      <t xml:space="preserve">
Базисная стоимость: 785,94 = [3 885,69 / 1,2 /  4,12]</t>
    </r>
  </si>
  <si>
    <r>
      <t>Установка вставок гибких к радиальным вентиляторам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</si>
  <si>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заслонок воздушных и клапанов воздушных КВР с электрическим или пневматическим приводом периметром до 1600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</si>
  <si>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камер приточных типовых без секции орошения производительностью до 10 тыс.м3/час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</si>
  <si>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Установка клапанов: огнезадерживающих с ручной регулировкой периметром до 1600 мм</t>
    </r>
    <r>
      <rPr>
        <i/>
        <sz val="10"/>
        <rFont val="Arial"/>
        <family val="2"/>
        <charset val="204"/>
      </rPr>
      <t xml:space="preserve">
Поправки к: 
ЭММ )*1,25;   
ЗПМ )*1,25;   
ОЗП )*1,15;   
Труд.Стр. )*1,15;   
Труд.Маш. )*1,25</t>
    </r>
  </si>
  <si>
    <r>
      <t>Прокладка воздуховодов из листовой, оцинкованной стали и алюминия класса Н (нормальные) толщиной 0,7 мм, периметром от 1100 до 1600 мм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</si>
  <si>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решеток жалюзийных стальных регулирующих (РР), номер 4, размер 200х400 мм (300х200)</t>
    </r>
    <r>
      <rPr>
        <i/>
        <sz val="10"/>
        <rFont val="Arial"/>
        <family val="2"/>
        <charset val="204"/>
      </rPr>
      <t xml:space="preserve">
Поправки к: 
ЭММ )*1,25)*1,05;   
ЗПМ )*1,25)*1,05;   
ОЗП )*1,15)*1,05;   
Труд.Стр. )*1,15)*1,05;   
Труд.Маш. )*1,25)*1,05</t>
    </r>
  </si>
  <si>
    <r>
      <t>Установка вставок гибких к радиальным вентиляторам</t>
    </r>
    <r>
      <rPr>
        <i/>
        <sz val="10"/>
        <rFont val="Arial"/>
        <family val="2"/>
        <charset val="204"/>
      </rPr>
      <t xml:space="preserve">
Поправки к: 
ЭММ )*1,25))*1,05;   
ЗПМ )*1,25))*1,05;   
ОЗП )*1,15))*1,05;   
Труд.Стр. )*1,15))*1,05;   
Труд.Маш. )*1,25))*1,05</t>
    </r>
  </si>
  <si>
    <r>
      <t>Установка камер приточных типовых без секции орошения производительностью до 10 тыс.м3/час</t>
    </r>
    <r>
      <rPr>
        <i/>
        <sz val="10"/>
        <rFont val="Arial"/>
        <family val="2"/>
        <charset val="204"/>
      </rPr>
      <t xml:space="preserve">
Поправки к: 
ЭММ )*1,25);   
ЗПМ )*1,25);   
ОЗП )*1,15);   
Труд.Стр. )*1,15);   
Труд.Маш. )*1,25)</t>
    </r>
  </si>
  <si>
    <t>отопление, вентиляция</t>
  </si>
  <si>
    <t>187,1</t>
  </si>
  <si>
    <t>ФССЦ-2001, 02.3.01.02-0015, приказ Минстроя России № 876/пр от 26.12.2019</t>
  </si>
  <si>
    <t>ФЕР-2001, 16-04-002-03, приказ Минстроя России № 876/пр от 26.12.2019</t>
  </si>
  <si>
    <t>189,3</t>
  </si>
  <si>
    <t>ФССЦ-2001, 24.3.05.08-0112, приказ Минстроя России № 876/пр от 26.12.2019</t>
  </si>
  <si>
    <t>ФЕР-2001, 09-03-039-01, приказ Минстроя России №1039/пр от 30.12.2016г.</t>
  </si>
  <si>
    <t>193,1</t>
  </si>
  <si>
    <t>ФССЦ-2001, 07.2.07.11-0003, приказ Минстроя России №1039/пр от 30.12.2016г.</t>
  </si>
  <si>
    <t>ФССЦ-2001, 07.2.07.11-0002, приказ Минстроя России № 876/пр от 26.12.2019</t>
  </si>
  <si>
    <t>ФЕР-2001, 16-02-005-10, приказ Минстроя России № 876/пр от 26.12.2019</t>
  </si>
  <si>
    <t>ФЕР-2001, 16-02-005-09, приказ Минстроя России № 876/пр от 26.12.2019</t>
  </si>
  <si>
    <t>200</t>
  </si>
  <si>
    <t>ФЕР-2001, 22-02-003-08, приказ Минстроя России № 876/пр от 26.12.2019</t>
  </si>
  <si>
    <t>200,1</t>
  </si>
  <si>
    <t>201</t>
  </si>
  <si>
    <t>ФССЦ-2001, 01.2.03.03-0007, приказ Минстроя России № 876/пр от 26.12.2019</t>
  </si>
  <si>
    <t>ФЕР-2001, 16-02-005-02, приказ Минстроя России № 876/пр от 26.12.2019</t>
  </si>
  <si>
    <t>157,2</t>
  </si>
  <si>
    <t>ФССЦ-2001, 23.7.01.04-0002, приказ Минстроя России № 876/пр от 26.12.2019</t>
  </si>
  <si>
    <t>ФЕР-2001, 16-02-001-05, приказ Минстроя России № 876/пр от 26.12.2019</t>
  </si>
  <si>
    <t>159,2</t>
  </si>
  <si>
    <t>ФССЦ-2001, 18.5.13.01-0005, приказ Минстроя России № 876/пр от 26.12.2019</t>
  </si>
  <si>
    <t>ФЕР-2001, 16-02-001-04, приказ Минстроя России № 876/пр от 26.12.2019</t>
  </si>
  <si>
    <t>161,2</t>
  </si>
  <si>
    <t>ФССЦ-2001, 18.2.07.01-0007, приказ Минстроя России № 876/пр от 26.12.2019</t>
  </si>
  <si>
    <t>ФЕР-2001, 16-02-001-03, приказ Минстроя России № 876/пр от 26.12.2019</t>
  </si>
  <si>
    <t>163,2</t>
  </si>
  <si>
    <t>ФССЦ-2001, 18.5.13.01-0003, приказ Минстроя России № 876/пр от 26.12.2019</t>
  </si>
  <si>
    <t>ФЕР-2001, 16-05-001-02, приказ Минстроя России № 876/пр от 26.12.2019</t>
  </si>
  <si>
    <t>165,1</t>
  </si>
  <si>
    <t>165,2</t>
  </si>
  <si>
    <t>ФССЦ-2001, 18.1.09.10-0005, приказ Минстроя России № 876/пр от 26.12.2019</t>
  </si>
  <si>
    <t>Краны шаровые BROEN BALLOMAX для теплоснабжения и охлаждения, с фланцевым и сварным присоединением, с ручкой, давлением 2,5 МПа (25 кгс/см2), серии КШТ 60.104, диаметром: 50 мм (Кран шаровый фланцевый Ду50 JIP-FF)</t>
  </si>
  <si>
    <t>ФССЦ-2001, 18.1.09.10-0004, приказ Минстроя России № 876/пр от 26.12.2019</t>
  </si>
  <si>
    <t>Краны шаровые BROEN BALLOMAX для теплоснабжения и охлаждения, с фланцевым и сварным присоединением, с ручкой, давлением 2,5 МПа (25 кгс/см2), серии КШТ 60.104, диаметром: 40 мм (Кран шаровый фланцевый Ду40 JIP-FF)</t>
  </si>
  <si>
    <t>ФССЦ-2001, 23.8.03.09-0445, приказ Минстроя России № 876/пр от 26.12.2019</t>
  </si>
  <si>
    <t>Фланцы стальные плоские приварные из стали 12Х18Н9Т, давлением: 2,5 МПа (25 кгс/см2), диаметром 50 мм</t>
  </si>
  <si>
    <t>ФССЦ-2001, 23.8.03.09-0444, приказ Минстроя России № 876/пр от 26.12.2019</t>
  </si>
  <si>
    <t>Фланцы стальные плоские приварные из стали 12Х18Н9Т, номинальное давление 2,5 МПа, номинальный диаметр 40 мм</t>
  </si>
  <si>
    <t>ФЕР-2001, 16-05-001-01, приказ Минстроя России № 876/пр от 26.12.2019</t>
  </si>
  <si>
    <t>ФССЦ-2001, 18.1.09.10-0002, приказ Минстроя России № 876/пр от 26.12.2019</t>
  </si>
  <si>
    <t>Краны шаровые BROEN BALLOMAX для теплоснабжения и охлаждения, с фланцевым и сварным присоединением, с ручкой, давлением 2,5 МПа (25 кгс/см2), серии КШТ 60.104, диаметром: 25 мм (Кран шаровый фланцевый Ду25 JIP-FF)</t>
  </si>
  <si>
    <t>ФССЦ-2001, 23.8.03.09-0442, приказ Минстроя России № 876/пр от 26.12.2019</t>
  </si>
  <si>
    <t>Фланцы стальные плоские приварные из стали 12Х18Н9Т, номинальное давление 2,5 МПа, номинальный диаметр 25 мм</t>
  </si>
  <si>
    <t>ФЕР-2001, 18-06-003-10, приказ Минстроя России № 876/пр от 26.12.2019</t>
  </si>
  <si>
    <t>173,1</t>
  </si>
  <si>
    <t>173,2</t>
  </si>
  <si>
    <t>ФССЦ-2001, 18.1.10.09-0011, приказ Минстроя России № 876/пр от 26.12.2019</t>
  </si>
  <si>
    <t>ФССЦ-2001, 18.1.09.08-0052, приказ Минстроя России № 876/пр от 26.12.2019</t>
  </si>
  <si>
    <t>Кран шаровой полупроходной с внутренней резьбой "Danfoss" Х1666, диаметром: 15 мм</t>
  </si>
  <si>
    <t>ФЕР-2001, 13-03-004-23, приказ Минстроя России № 876/пр от 26.12.2019</t>
  </si>
  <si>
    <t>ФЕР-2001, 26-01-001-01, приказ Минстроя России № 876/пр от 26.12.2019</t>
  </si>
  <si>
    <t>178,1</t>
  </si>
  <si>
    <t>ФССЦ-2001, 12.2.08.01-0059, приказ Минстроя России № 876/пр от 26.12.2019</t>
  </si>
  <si>
    <t>ФССЦ-2001, 12.2.08.01-0056, приказ Минстроя России № 876/пр от 26.12.2019</t>
  </si>
  <si>
    <t>ФССЦ-2001, 12.2.08.01-0025, приказ Минстроя России № 876/пр от 26.12.2019</t>
  </si>
  <si>
    <t>ФССЦ-2001, 12.2.08.01-0023, приказ Минстроя России № 876/пр от 26.12.2019</t>
  </si>
  <si>
    <t>ФЕР-2001, 20-02-012-01, приказ Минстроя России № 876/пр от 26.12.2019</t>
  </si>
  <si>
    <t>148,2</t>
  </si>
  <si>
    <t>ФССЦ-2001, 19.1.04.01-0031, приказ Минстроя России № 876/пр от 26.12.2019</t>
  </si>
  <si>
    <t>ФЕР-2001, 20-01-001-01, приказ Минстроя России № 876/пр от 26.12.2019</t>
  </si>
  <si>
    <t>Объем: 0,061=(3,8+2,28)/100</t>
  </si>
  <si>
    <t>151,2</t>
  </si>
  <si>
    <t>ФССЦ-2001, 19.1.01.02-0001, приказ Минстроя России № 876/пр от 26.12.2019</t>
  </si>
  <si>
    <t>ФССЦ-2001, 19.1.01.09-0024, приказ Минстроя России № 876/пр от 26.12.2019</t>
  </si>
  <si>
    <t>ФЕР-2001, 20-01-001-04, приказ Минстроя России № 876/пр от 26.12.2019</t>
  </si>
  <si>
    <t>154,1</t>
  </si>
  <si>
    <t>ФССЦ-2001, 19.1.01.03-0013, приказ Минстроя России № 876/пр от 26.12.2019</t>
  </si>
  <si>
    <t>ФССЦ-2001, 19.1.01.11-0001, приказ Минстроя России № 876/пр от 26.12.2019</t>
  </si>
  <si>
    <t>ФЕР-2001, 20-01-001-03, приказ Минстроя России № 876/пр от 26.12.2019</t>
  </si>
  <si>
    <t>142,1</t>
  </si>
  <si>
    <t>ФССЦ-2001, 19.1.01.03-0047, приказ Минстроя России № 876/пр от 26.12.2019</t>
  </si>
  <si>
    <t>ФССЦ-2001, 19.1.01.09-0027, приказ Минстроя России № 876/пр от 26.12.2019</t>
  </si>
  <si>
    <t>ФЕР-2001, 20-02-010-01, приказ Минстроя России № 876/пр от 26.12.2019</t>
  </si>
  <si>
    <t>145,2</t>
  </si>
  <si>
    <t>ФССЦ-2001, 19.2.02.02-0024, приказ Минстроя России № 876/пр от 26.12.2019</t>
  </si>
  <si>
    <t>ФЕРр-2001, 65-30-2, приказ Минстроя России № 876/пр от 26.12.2019</t>
  </si>
  <si>
    <t>ФЕР-2001, 20-03-001-01, приказ Минстроя России № 876/пр от 26.12.2019</t>
  </si>
  <si>
    <t>ФССЦ-2001, 64.1.02.01-0020, приказ Минстроя России № 876/пр от 26.12.2019</t>
  </si>
  <si>
    <t>ФЕР-2001, 20-02-009-02, приказ Минстроя России № 876/пр от 26.12.2019</t>
  </si>
  <si>
    <t>132,2</t>
  </si>
  <si>
    <t>ФССЦ-2001, 19.2.02.01-0002, приказ Минстроя России № 876/пр от 26.12.2019</t>
  </si>
  <si>
    <t>ФЕР-2001, 20-02-003-08, приказ Минстроя России № 876/пр от 26.12.2019</t>
  </si>
  <si>
    <t>Объем: 0,035=(1,8+0,25+1,41)/100</t>
  </si>
  <si>
    <t>135,2</t>
  </si>
  <si>
    <t>ФССЦ-2001, 19.1.01.03-0048, приказ Минстроя России № 876/пр от 26.12.2019</t>
  </si>
  <si>
    <t>ФССЦ-2001, 19.1.01.09-0026, приказ Минстроя России № 876/пр от 26.12.2019</t>
  </si>
  <si>
    <t>ФССЦ-2001, 19.1.01.09-0028, приказ Минстроя России № 876/пр от 26.12.2019</t>
  </si>
  <si>
    <t>ФЕР-2001, 20-01-001-02, приказ Минстроя России № 876/пр от 26.12.2019</t>
  </si>
  <si>
    <t>139,1</t>
  </si>
  <si>
    <t>ФССЦ-2001, 64.1.02.01-0005, приказ Минстроя России № 876/пр от 26.12.2019</t>
  </si>
  <si>
    <t>ФЕР-2001, 20-02-009-01, приказ Минстроя России № 876/пр от 26.12.2019</t>
  </si>
  <si>
    <t>ФССЦ-2001, 19.2.02.01-0001, приказ Минстроя России № 876/пр от 26.12.2019</t>
  </si>
  <si>
    <t>ФЕР-2001, 20-02-004-01, приказ Минстроя России № 876/пр от 26.12.2019</t>
  </si>
  <si>
    <t>117,1</t>
  </si>
  <si>
    <t>ФССЦ-2001, 19.3.01.09-0002, приказ Минстроя России № 876/пр от 26.12.2019</t>
  </si>
  <si>
    <t>ФЕР-2001, 20-02-004-15, приказ Минстроя России № 876/пр от 26.12.2019</t>
  </si>
  <si>
    <t>ФССЦ-2001, 19.3.01.13-0048, приказ Минстроя России № 876/пр от 26.12.2019</t>
  </si>
  <si>
    <t>Объем: 0,028=(1,2+0,7+0,25+2*0,3)/100</t>
  </si>
  <si>
    <t>122,2</t>
  </si>
  <si>
    <t>ФССЦ-2001, 19.1.01.03-0051, приказ Минстроя России № 876/пр от 26.12.2019</t>
  </si>
  <si>
    <t>ФССЦ-2001, 19.1.01.03-0046, приказ Минстроя России № 876/пр от 26.12.2019</t>
  </si>
  <si>
    <t>ФССЦ-2001, 19.1.01.03-0010, приказ Минстроя России № 876/пр от 26.12.2019</t>
  </si>
  <si>
    <t>98,2</t>
  </si>
  <si>
    <t>110,1</t>
  </si>
  <si>
    <t>ФССЦ-2001, 64.1.02.02-0061, приказ Минстроя России № 876/пр от 26.12.2019</t>
  </si>
  <si>
    <t>ФЕР-2001, 20-02-009-03, приказ Минстроя России № 876/пр от 26.12.2019</t>
  </si>
  <si>
    <t>85,2</t>
  </si>
  <si>
    <t>ФССЦ-2001, 19.2.02.01-0003, приказ Минстроя России № 876/пр от 26.12.2019</t>
  </si>
  <si>
    <t>ФЕР-2001, 20-02-003-09, приказ Минстроя России № 876/пр от 26.12.2019</t>
  </si>
  <si>
    <t>ФЕР-2001, 20-01-001-05, приказ Минстроя России № 876/пр от 26.12.2019</t>
  </si>
  <si>
    <t>ФССЦ-2001, 19.1.01.03-0014, приказ Минстроя России № 876/пр от 26.12.2019</t>
  </si>
  <si>
    <t>ФССЦ-2001, 19.1.01.09-0009, приказ Минстроя России № 876/пр от 26.12.2019</t>
  </si>
  <si>
    <t>ФССЦ-2001, 19.1.01.09-0031, приказ Минстроя России № 876/пр от 26.12.2019</t>
  </si>
  <si>
    <t>92,1</t>
  </si>
  <si>
    <t>ФССЦ-2001, 19.1.01.03-0012, приказ Минстроя России № 876/пр от 26.12.2019</t>
  </si>
  <si>
    <t>ФССЦ-2001, 19.1.01.03-0011, приказ Минстроя России № 876/пр от 26.12.2019</t>
  </si>
  <si>
    <t>ФЕР-2001, 20-06-002-01, приказ Минстроя России № 876/пр от 26.12.2019</t>
  </si>
  <si>
    <t>ФССЦ-2001, 64.4.03.02-1006, приказ Минстроя России № 876/пр от 26.12.2019</t>
  </si>
  <si>
    <t>ФЕРм-2001, м11-07-001-03, приказ Минстроя России № 876/пр от 26.12.2019</t>
  </si>
  <si>
    <t>Узел обвязки приборов</t>
  </si>
  <si>
    <t>узел</t>
  </si>
  <si>
    <t>62,1</t>
  </si>
  <si>
    <t>Масса оборудования</t>
  </si>
  <si>
    <t>ФССЦ-2001, 64.4.02.06-1002, приказ Минстроя России № 876/пр от 26.12.2019</t>
  </si>
  <si>
    <t>ФЕР-2001, 20-02-006-07, приказ Минстроя России № 876/пр от 26.12.2019</t>
  </si>
  <si>
    <t>ФССЦ-2001, 19.3.01.05-0003, приказ Минстроя России № 876/пр от 26.12.2019</t>
  </si>
  <si>
    <t>Клапаны вентиляционные с сервоприводом, размер 630x315 мм (входной клапан 500х300)</t>
  </si>
  <si>
    <t>ФЕР-2001, 20-02-018-01, приказ Минстроя России № 876/пр от 26.12.2019</t>
  </si>
  <si>
    <t>ФССЦ-2001, 19.2.01.02-1008, приказ Минстроя России № 876/пр от 26.12.2019</t>
  </si>
  <si>
    <t>ФССЦ-2001, 62.1.04.01-0001, приказ Минстроя России № 876/пр от 26.12.2019</t>
  </si>
  <si>
    <t>Датчик-реле давления ДД-1,6</t>
  </si>
  <si>
    <t>ФССЦ-2001, 63.4.03.01-0002, приказ Минстроя России № 876/пр от 26.12.2019</t>
  </si>
  <si>
    <t>ФССЦ-2001, 62.1.04.13-0001, приказ Минстроя России № 876/пр от 26.12.2019</t>
  </si>
  <si>
    <t>ФЕРм-2001, м11-06-001-01, приказ Минстроя России № 876/пр от 26.12.2019</t>
  </si>
  <si>
    <t>ФЕР-2001, 20-02-002-01, приказ Минстроя России № 876/пр от 26.12.2019</t>
  </si>
  <si>
    <t>ФССЦ-2001, 04.3.01.09-0012, приказ Минстроя России № 876/пр от 26.12.2019</t>
  </si>
  <si>
    <t>ФССЦ-2001, 19.2.03.03-0063, приказ Минстроя России № 876/пр от 26.12.2019</t>
  </si>
  <si>
    <t>ФЕР-2001, 20-01-001-10, приказ Минстроя России № 876/пр от 26.12.2019</t>
  </si>
  <si>
    <t>ФССЦ-2001, 19.1.01.03-0027, приказ Минстроя России № 876/пр от 26.12.2019</t>
  </si>
  <si>
    <t>ФССЦ-2001, 19.1.01.03-0025, приказ Минстроя России № 876/пр от 26.12.2019</t>
  </si>
  <si>
    <t>ФССЦ-2001, 64.4.03.02-1000, приказ Минстроя России № 876/пр от 26.12.2019</t>
  </si>
  <si>
    <t>33,1</t>
  </si>
  <si>
    <t>Клапаны противопожарные с пружинным приводом в комбинации с тепловым замком, тип КПС-1 (60), размер 300x300 мм</t>
  </si>
  <si>
    <t>ФССЦ-2001, 19.2.03.03-0051, приказ Минстроя России № 876/пр от 26.12.2019</t>
  </si>
  <si>
    <t>ФССЦ-2001, 64.4.03.02-1004, приказ Минстроя России № 876/пр от 26.12.2019</t>
  </si>
  <si>
    <t>3,1</t>
  </si>
  <si>
    <t>Объем: 0,3=0,5*0,3*2</t>
  </si>
  <si>
    <t>ФССЦ-2001, 19.1.01.09-0007, приказ Минстроя России № 876/пр от 26.12.2019</t>
  </si>
  <si>
    <t>Сводный сметный расчет в ценах 3 кв 2020 года</t>
  </si>
  <si>
    <t>Составлена в ценах по состоянию на 3 кв 2020 года</t>
  </si>
  <si>
    <t>Утилизация строительного мусора (32+38,3+33,4)*(426,21)</t>
  </si>
  <si>
    <t>Постановление от 25.11.2019 №93-17-20/в</t>
  </si>
  <si>
    <t>Утилизация строительного мусора (32+38,3+33,4)*(426,21)/8,38</t>
  </si>
  <si>
    <t>Возвратная сумма</t>
  </si>
  <si>
    <t>Прибор, устанавливаемый на резьбовых соединениях, масса: до 1,5 кг</t>
  </si>
  <si>
    <t>Начальная (максимальная) цена договора без учета расходов на строительный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</si>
</sst>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####;[Red]&quot;- &quot;#,##0.00####"/>
    <numFmt numFmtId="165" formatCode="#,##0.00_ ;\-#,##0.00\ "/>
    <numFmt numFmtId="166" formatCode="#,##0.00;[Red]\-\ #,##0.00"/>
    <numFmt numFmtId="167" formatCode="#,##0;[Red]\-\ #,##0"/>
  </numFmts>
  <fonts count="37" x14ac:knownFonts="1">
    <font>
      <sz val="10"/>
      <name val="Arial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i/>
      <sz val="9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u/>
      <sz val="14"/>
      <name val="Arial"/>
      <family val="2"/>
      <charset val="204"/>
    </font>
    <font>
      <i/>
      <sz val="10"/>
      <name val="Arial"/>
      <family val="2"/>
      <charset val="204"/>
    </font>
    <font>
      <b/>
      <u/>
      <sz val="11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rgb="FF0000FF"/>
      <name val="Arial"/>
      <family val="2"/>
      <charset val="204"/>
    </font>
    <font>
      <b/>
      <sz val="10"/>
      <color rgb="FF800000"/>
      <name val="Arial"/>
      <family val="2"/>
      <charset val="204"/>
    </font>
    <font>
      <b/>
      <sz val="10"/>
      <color rgb="FF800080"/>
      <name val="Arial"/>
      <family val="2"/>
      <charset val="204"/>
    </font>
    <font>
      <sz val="10"/>
      <color rgb="FF000080"/>
      <name val="Arial"/>
      <family val="2"/>
      <charset val="204"/>
    </font>
    <font>
      <b/>
      <sz val="10"/>
      <color rgb="FF008000"/>
      <name val="Arial"/>
      <family val="2"/>
      <charset val="204"/>
    </font>
    <font>
      <sz val="10"/>
      <color rgb="FF008000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00FF"/>
      <name val="Arial"/>
      <family val="2"/>
      <charset val="204"/>
    </font>
    <font>
      <sz val="10"/>
      <color rgb="FF800000"/>
      <name val="Arial"/>
      <family val="2"/>
      <charset val="204"/>
    </font>
    <font>
      <b/>
      <sz val="10"/>
      <color rgb="FFFF00FF"/>
      <name val="Arial"/>
      <family val="2"/>
      <charset val="204"/>
    </font>
    <font>
      <b/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</cellStyleXfs>
  <cellXfs count="218">
    <xf numFmtId="0" fontId="0" fillId="0" borderId="0" xfId="0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6" fillId="0" borderId="0" xfId="0" applyFont="1"/>
    <xf numFmtId="0" fontId="2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0" fillId="0" borderId="2" xfId="0" applyBorder="1"/>
    <xf numFmtId="0" fontId="2" fillId="0" borderId="2" xfId="0" applyFont="1" applyBorder="1" applyAlignment="1">
      <alignment wrapText="1"/>
    </xf>
    <xf numFmtId="0" fontId="5" fillId="0" borderId="3" xfId="0" applyFont="1" applyBorder="1"/>
    <xf numFmtId="0" fontId="7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4" applyFont="1"/>
    <xf numFmtId="49" fontId="2" fillId="0" borderId="0" xfId="4" applyNumberFormat="1" applyFont="1" applyAlignment="1">
      <alignment horizontal="left" vertical="top"/>
    </xf>
    <xf numFmtId="0" fontId="2" fillId="0" borderId="0" xfId="4" applyFont="1" applyAlignment="1">
      <alignment horizontal="left" vertical="top"/>
    </xf>
    <xf numFmtId="1" fontId="2" fillId="0" borderId="0" xfId="4" applyNumberFormat="1" applyFont="1" applyAlignment="1">
      <alignment horizontal="right" vertical="top"/>
    </xf>
    <xf numFmtId="1" fontId="2" fillId="0" borderId="0" xfId="4" applyNumberFormat="1" applyFont="1" applyAlignment="1">
      <alignment horizontal="center" vertical="center"/>
    </xf>
    <xf numFmtId="1" fontId="15" fillId="0" borderId="0" xfId="4" applyNumberFormat="1" applyFont="1" applyAlignment="1">
      <alignment horizontal="right" vertical="top"/>
    </xf>
    <xf numFmtId="0" fontId="17" fillId="0" borderId="0" xfId="4" applyFont="1" applyBorder="1" applyAlignment="1">
      <alignment wrapText="1"/>
    </xf>
    <xf numFmtId="0" fontId="18" fillId="0" borderId="0" xfId="4" applyFont="1" applyBorder="1" applyAlignment="1">
      <alignment vertical="center" wrapText="1"/>
    </xf>
    <xf numFmtId="4" fontId="2" fillId="0" borderId="0" xfId="4" applyNumberFormat="1" applyFont="1" applyAlignment="1">
      <alignment horizontal="right" vertical="center"/>
    </xf>
    <xf numFmtId="1" fontId="2" fillId="0" borderId="0" xfId="4" applyNumberFormat="1" applyFont="1" applyAlignment="1">
      <alignment horizontal="left" vertical="center"/>
    </xf>
    <xf numFmtId="1" fontId="2" fillId="0" borderId="0" xfId="4" applyNumberFormat="1" applyFont="1" applyAlignment="1">
      <alignment horizontal="right" vertical="center"/>
    </xf>
    <xf numFmtId="1" fontId="2" fillId="0" borderId="0" xfId="4" applyNumberFormat="1" applyFont="1" applyAlignment="1">
      <alignment vertical="center"/>
    </xf>
    <xf numFmtId="0" fontId="2" fillId="0" borderId="2" xfId="4" applyFont="1" applyBorder="1" applyAlignment="1">
      <alignment horizontal="center"/>
    </xf>
    <xf numFmtId="49" fontId="2" fillId="0" borderId="2" xfId="4" applyNumberFormat="1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1" fontId="2" fillId="0" borderId="2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wrapText="1"/>
    </xf>
    <xf numFmtId="49" fontId="2" fillId="0" borderId="1" xfId="4" applyNumberFormat="1" applyFont="1" applyBorder="1" applyAlignment="1">
      <alignment horizontal="left" vertical="top" wrapText="1"/>
    </xf>
    <xf numFmtId="0" fontId="2" fillId="0" borderId="1" xfId="4" applyFont="1" applyBorder="1" applyAlignment="1">
      <alignment horizontal="left" vertical="top" wrapText="1"/>
    </xf>
    <xf numFmtId="4" fontId="2" fillId="0" borderId="1" xfId="4" applyNumberFormat="1" applyFont="1" applyBorder="1" applyAlignment="1">
      <alignment horizontal="right" vertical="top" wrapText="1"/>
    </xf>
    <xf numFmtId="4" fontId="2" fillId="0" borderId="1" xfId="4" applyNumberFormat="1" applyFont="1" applyBorder="1" applyAlignment="1">
      <alignment horizontal="right" vertical="top"/>
    </xf>
    <xf numFmtId="1" fontId="2" fillId="0" borderId="1" xfId="4" applyNumberFormat="1" applyFont="1" applyBorder="1" applyAlignment="1">
      <alignment horizontal="right" vertical="top"/>
    </xf>
    <xf numFmtId="0" fontId="2" fillId="0" borderId="1" xfId="4" applyFont="1" applyBorder="1"/>
    <xf numFmtId="49" fontId="2" fillId="0" borderId="1" xfId="4" applyNumberFormat="1" applyFont="1" applyBorder="1" applyAlignment="1">
      <alignment horizontal="left" vertical="top"/>
    </xf>
    <xf numFmtId="0" fontId="6" fillId="0" borderId="1" xfId="4" applyFont="1" applyBorder="1" applyAlignment="1">
      <alignment horizontal="left" vertical="top" wrapText="1"/>
    </xf>
    <xf numFmtId="4" fontId="15" fillId="0" borderId="1" xfId="4" applyNumberFormat="1" applyFont="1" applyBorder="1" applyAlignment="1">
      <alignment horizontal="right" vertical="top" wrapText="1"/>
    </xf>
    <xf numFmtId="0" fontId="19" fillId="0" borderId="1" xfId="4" applyFont="1" applyBorder="1" applyAlignment="1">
      <alignment horizontal="center" vertical="top" wrapText="1"/>
    </xf>
    <xf numFmtId="0" fontId="2" fillId="0" borderId="0" xfId="4" applyFont="1" applyBorder="1"/>
    <xf numFmtId="49" fontId="2" fillId="0" borderId="0" xfId="4" applyNumberFormat="1" applyFont="1" applyBorder="1" applyAlignment="1">
      <alignment horizontal="left" vertical="top"/>
    </xf>
    <xf numFmtId="0" fontId="6" fillId="0" borderId="0" xfId="4" applyFont="1" applyBorder="1" applyAlignment="1">
      <alignment horizontal="left" vertical="top" wrapText="1"/>
    </xf>
    <xf numFmtId="4" fontId="15" fillId="0" borderId="0" xfId="4" applyNumberFormat="1" applyFont="1" applyBorder="1" applyAlignment="1">
      <alignment horizontal="right" vertical="top" wrapText="1"/>
    </xf>
    <xf numFmtId="1" fontId="2" fillId="0" borderId="0" xfId="4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left" vertical="top" wrapText="1"/>
    </xf>
    <xf numFmtId="1" fontId="2" fillId="0" borderId="0" xfId="4" applyNumberFormat="1" applyFont="1" applyBorder="1" applyAlignment="1">
      <alignment horizontal="right" vertical="top" wrapText="1"/>
    </xf>
    <xf numFmtId="0" fontId="1" fillId="0" borderId="0" xfId="5"/>
    <xf numFmtId="0" fontId="3" fillId="0" borderId="0" xfId="5" applyFont="1" applyAlignment="1">
      <alignment horizontal="center" vertical="top"/>
    </xf>
    <xf numFmtId="49" fontId="3" fillId="0" borderId="0" xfId="5" applyNumberFormat="1" applyFont="1" applyAlignment="1">
      <alignment horizontal="left" vertical="top"/>
    </xf>
    <xf numFmtId="0" fontId="3" fillId="0" borderId="0" xfId="5" applyFont="1" applyAlignment="1">
      <alignment horizontal="left" vertical="top"/>
    </xf>
    <xf numFmtId="0" fontId="3" fillId="0" borderId="0" xfId="5" applyFont="1" applyAlignment="1">
      <alignment horizontal="center" vertical="center"/>
    </xf>
    <xf numFmtId="0" fontId="20" fillId="0" borderId="0" xfId="5" applyFont="1" applyAlignment="1">
      <alignment horizontal="right"/>
    </xf>
    <xf numFmtId="0" fontId="1" fillId="0" borderId="0" xfId="5" applyAlignment="1">
      <alignment horizontal="left" vertical="top"/>
    </xf>
    <xf numFmtId="0" fontId="22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top"/>
    </xf>
    <xf numFmtId="0" fontId="20" fillId="0" borderId="0" xfId="1" applyFont="1"/>
    <xf numFmtId="0" fontId="18" fillId="0" borderId="0" xfId="5" applyFont="1" applyAlignment="1">
      <alignment horizontal="left" vertical="top"/>
    </xf>
    <xf numFmtId="0" fontId="20" fillId="0" borderId="0" xfId="5" applyFont="1" applyAlignment="1">
      <alignment horizontal="center" vertical="center"/>
    </xf>
    <xf numFmtId="4" fontId="20" fillId="0" borderId="0" xfId="5" applyNumberFormat="1" applyFont="1" applyAlignment="1">
      <alignment horizontal="right" vertical="top"/>
    </xf>
    <xf numFmtId="0" fontId="20" fillId="0" borderId="0" xfId="5" applyFont="1" applyAlignment="1">
      <alignment horizontal="left" vertical="center"/>
    </xf>
    <xf numFmtId="0" fontId="23" fillId="0" borderId="0" xfId="5" applyFont="1"/>
    <xf numFmtId="0" fontId="24" fillId="0" borderId="0" xfId="1" applyFont="1"/>
    <xf numFmtId="0" fontId="24" fillId="0" borderId="0" xfId="5" applyFont="1" applyAlignment="1">
      <alignment horizontal="left" vertical="top"/>
    </xf>
    <xf numFmtId="4" fontId="24" fillId="0" borderId="0" xfId="5" applyNumberFormat="1" applyFont="1" applyAlignment="1">
      <alignment horizontal="right" vertical="top"/>
    </xf>
    <xf numFmtId="0" fontId="3" fillId="0" borderId="0" xfId="5" applyFont="1" applyAlignment="1">
      <alignment horizontal="left" vertical="center"/>
    </xf>
    <xf numFmtId="0" fontId="1" fillId="0" borderId="0" xfId="5" applyFont="1"/>
    <xf numFmtId="0" fontId="3" fillId="0" borderId="0" xfId="5" applyFont="1" applyAlignment="1">
      <alignment horizontal="right" vertical="center"/>
    </xf>
    <xf numFmtId="0" fontId="3" fillId="0" borderId="0" xfId="5" applyFont="1" applyAlignment="1">
      <alignment horizontal="right" vertical="top"/>
    </xf>
    <xf numFmtId="0" fontId="3" fillId="0" borderId="0" xfId="12" applyFont="1" applyAlignment="1">
      <alignment horizontal="left"/>
    </xf>
    <xf numFmtId="0" fontId="3" fillId="0" borderId="2" xfId="11" applyFont="1" applyBorder="1" applyAlignment="1">
      <alignment horizontal="center"/>
    </xf>
    <xf numFmtId="0" fontId="3" fillId="0" borderId="1" xfId="5" applyFont="1" applyBorder="1" applyAlignment="1">
      <alignment horizontal="center" vertical="top" wrapText="1"/>
    </xf>
    <xf numFmtId="49" fontId="3" fillId="0" borderId="1" xfId="5" applyNumberFormat="1" applyFont="1" applyBorder="1" applyAlignment="1">
      <alignment horizontal="center" vertical="top" wrapText="1"/>
    </xf>
    <xf numFmtId="0" fontId="3" fillId="2" borderId="2" xfId="3" applyFont="1" applyFill="1" applyBorder="1" applyAlignment="1">
      <alignment horizontal="left" vertical="top" wrapText="1"/>
    </xf>
    <xf numFmtId="4" fontId="3" fillId="0" borderId="1" xfId="5" applyNumberFormat="1" applyFont="1" applyBorder="1" applyAlignment="1">
      <alignment horizontal="right" vertical="top" wrapText="1"/>
    </xf>
    <xf numFmtId="4" fontId="20" fillId="0" borderId="1" xfId="5" applyNumberFormat="1" applyFont="1" applyBorder="1" applyAlignment="1">
      <alignment horizontal="right" vertical="top" wrapText="1"/>
    </xf>
    <xf numFmtId="49" fontId="3" fillId="0" borderId="1" xfId="5" applyNumberFormat="1" applyFont="1" applyBorder="1" applyAlignment="1">
      <alignment horizontal="left" vertical="top" wrapText="1"/>
    </xf>
    <xf numFmtId="0" fontId="3" fillId="0" borderId="1" xfId="5" applyFont="1" applyBorder="1" applyAlignment="1">
      <alignment horizontal="left" vertical="top" wrapText="1"/>
    </xf>
    <xf numFmtId="2" fontId="3" fillId="0" borderId="1" xfId="5" applyNumberFormat="1" applyFont="1" applyBorder="1" applyAlignment="1">
      <alignment horizontal="right" vertical="top" wrapText="1"/>
    </xf>
    <xf numFmtId="2" fontId="20" fillId="0" borderId="1" xfId="5" applyNumberFormat="1" applyFont="1" applyBorder="1" applyAlignment="1">
      <alignment horizontal="right" vertical="top" wrapText="1"/>
    </xf>
    <xf numFmtId="4" fontId="20" fillId="2" borderId="1" xfId="5" applyNumberFormat="1" applyFont="1" applyFill="1" applyBorder="1" applyAlignment="1">
      <alignment horizontal="right" vertical="top" wrapText="1"/>
    </xf>
    <xf numFmtId="165" fontId="3" fillId="0" borderId="1" xfId="5" applyNumberFormat="1" applyFont="1" applyBorder="1" applyAlignment="1">
      <alignment horizontal="right" vertical="top" wrapText="1"/>
    </xf>
    <xf numFmtId="165" fontId="1" fillId="0" borderId="0" xfId="5" applyNumberFormat="1"/>
    <xf numFmtId="0" fontId="20" fillId="0" borderId="1" xfId="5" applyFont="1" applyBorder="1" applyAlignment="1">
      <alignment horizontal="left" vertical="top" wrapText="1"/>
    </xf>
    <xf numFmtId="165" fontId="20" fillId="0" borderId="1" xfId="5" applyNumberFormat="1" applyFont="1" applyBorder="1" applyAlignment="1">
      <alignment horizontal="right" vertical="top" wrapText="1"/>
    </xf>
    <xf numFmtId="0" fontId="18" fillId="0" borderId="1" xfId="5" applyFont="1" applyBorder="1" applyAlignment="1">
      <alignment horizontal="left" vertical="center" wrapText="1"/>
    </xf>
    <xf numFmtId="2" fontId="18" fillId="0" borderId="1" xfId="5" applyNumberFormat="1" applyFont="1" applyBorder="1" applyAlignment="1">
      <alignment horizontal="right" vertical="center" wrapText="1"/>
    </xf>
    <xf numFmtId="165" fontId="18" fillId="0" borderId="1" xfId="5" applyNumberFormat="1" applyFont="1" applyBorder="1" applyAlignment="1">
      <alignment horizontal="right" vertical="center" wrapText="1"/>
    </xf>
    <xf numFmtId="2" fontId="1" fillId="0" borderId="0" xfId="5" applyNumberFormat="1"/>
    <xf numFmtId="49" fontId="20" fillId="0" borderId="1" xfId="5" applyNumberFormat="1" applyFont="1" applyBorder="1" applyAlignment="1">
      <alignment horizontal="left" vertical="top" wrapText="1"/>
    </xf>
    <xf numFmtId="165" fontId="20" fillId="2" borderId="1" xfId="5" applyNumberFormat="1" applyFont="1" applyFill="1" applyBorder="1" applyAlignment="1">
      <alignment horizontal="right" vertical="top" wrapText="1"/>
    </xf>
    <xf numFmtId="165" fontId="23" fillId="0" borderId="0" xfId="5" applyNumberFormat="1" applyFont="1"/>
    <xf numFmtId="0" fontId="3" fillId="0" borderId="0" xfId="5" applyFont="1" applyBorder="1" applyAlignment="1">
      <alignment horizontal="center" vertical="top" wrapText="1"/>
    </xf>
    <xf numFmtId="49" fontId="3" fillId="0" borderId="0" xfId="5" applyNumberFormat="1" applyFont="1" applyBorder="1" applyAlignment="1">
      <alignment horizontal="left" vertical="top" wrapText="1"/>
    </xf>
    <xf numFmtId="0" fontId="3" fillId="0" borderId="0" xfId="5" applyFont="1" applyBorder="1" applyAlignment="1">
      <alignment horizontal="left" vertical="top" wrapText="1"/>
    </xf>
    <xf numFmtId="165" fontId="3" fillId="0" borderId="0" xfId="5" applyNumberFormat="1" applyFont="1" applyBorder="1" applyAlignment="1">
      <alignment horizontal="right" vertical="top" wrapText="1"/>
    </xf>
    <xf numFmtId="0" fontId="3" fillId="0" borderId="0" xfId="13" applyFont="1" applyAlignment="1">
      <alignment horizontal="right" vertical="top"/>
    </xf>
    <xf numFmtId="0" fontId="3" fillId="0" borderId="3" xfId="13" applyFont="1" applyBorder="1">
      <alignment horizontal="left" vertical="top"/>
    </xf>
    <xf numFmtId="0" fontId="3" fillId="0" borderId="3" xfId="5" applyFont="1" applyBorder="1"/>
    <xf numFmtId="0" fontId="1" fillId="0" borderId="0" xfId="5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66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6" fontId="6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6" fontId="5" fillId="0" borderId="0" xfId="0" applyNumberFormat="1" applyFont="1"/>
    <xf numFmtId="167" fontId="5" fillId="0" borderId="0" xfId="0" applyNumberFormat="1" applyFont="1"/>
    <xf numFmtId="166" fontId="5" fillId="0" borderId="3" xfId="0" applyNumberFormat="1" applyFont="1" applyBorder="1"/>
    <xf numFmtId="167" fontId="5" fillId="0" borderId="3" xfId="0" applyNumberFormat="1" applyFont="1" applyBorder="1"/>
    <xf numFmtId="167" fontId="2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13" fillId="0" borderId="0" xfId="0" applyFont="1" applyAlignment="1">
      <alignment wrapText="1"/>
    </xf>
    <xf numFmtId="49" fontId="3" fillId="3" borderId="1" xfId="5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left"/>
    </xf>
    <xf numFmtId="166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top"/>
    </xf>
    <xf numFmtId="1" fontId="16" fillId="0" borderId="0" xfId="4" applyNumberFormat="1" applyFont="1" applyBorder="1" applyAlignment="1">
      <alignment horizontal="center" vertical="center"/>
    </xf>
    <xf numFmtId="1" fontId="2" fillId="0" borderId="0" xfId="4" applyNumberFormat="1" applyFont="1" applyBorder="1" applyAlignment="1">
      <alignment horizontal="center" vertical="center"/>
    </xf>
    <xf numFmtId="0" fontId="17" fillId="0" borderId="0" xfId="4" applyFont="1" applyBorder="1" applyAlignment="1">
      <alignment horizontal="center" wrapText="1"/>
    </xf>
    <xf numFmtId="1" fontId="9" fillId="0" borderId="0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 wrapText="1"/>
    </xf>
    <xf numFmtId="1" fontId="2" fillId="0" borderId="1" xfId="4" applyNumberFormat="1" applyFont="1" applyBorder="1" applyAlignment="1">
      <alignment horizontal="center" vertical="center"/>
    </xf>
    <xf numFmtId="1" fontId="2" fillId="0" borderId="1" xfId="4" applyNumberFormat="1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wrapText="1"/>
    </xf>
    <xf numFmtId="0" fontId="2" fillId="0" borderId="0" xfId="4" applyFont="1" applyBorder="1" applyAlignment="1">
      <alignment horizontal="center" wrapText="1"/>
    </xf>
    <xf numFmtId="0" fontId="15" fillId="0" borderId="1" xfId="4" applyFont="1" applyBorder="1" applyAlignment="1">
      <alignment horizontal="left" wrapText="1"/>
    </xf>
    <xf numFmtId="1" fontId="2" fillId="0" borderId="0" xfId="4" applyNumberFormat="1" applyFont="1" applyBorder="1" applyAlignment="1">
      <alignment horizontal="left" vertical="center"/>
    </xf>
    <xf numFmtId="0" fontId="21" fillId="0" borderId="3" xfId="12" applyFont="1" applyBorder="1" applyAlignment="1">
      <alignment horizontal="left" vertical="top" wrapText="1"/>
    </xf>
    <xf numFmtId="0" fontId="22" fillId="0" borderId="4" xfId="5" applyFont="1" applyBorder="1" applyAlignment="1">
      <alignment horizontal="center" vertical="center" wrapText="1"/>
    </xf>
    <xf numFmtId="0" fontId="20" fillId="0" borderId="0" xfId="5" applyFont="1" applyBorder="1" applyAlignment="1">
      <alignment horizontal="center" vertical="center" wrapText="1"/>
    </xf>
    <xf numFmtId="0" fontId="21" fillId="0" borderId="0" xfId="12" applyFont="1" applyBorder="1" applyAlignment="1">
      <alignment horizontal="center" vertical="top" wrapText="1"/>
    </xf>
    <xf numFmtId="0" fontId="25" fillId="0" borderId="4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left" vertical="top" wrapText="1"/>
    </xf>
    <xf numFmtId="0" fontId="3" fillId="0" borderId="4" xfId="5" applyFont="1" applyBorder="1" applyAlignment="1">
      <alignment horizontal="center"/>
    </xf>
    <xf numFmtId="4" fontId="1" fillId="0" borderId="1" xfId="5" applyNumberFormat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165" fontId="1" fillId="0" borderId="1" xfId="5" applyNumberFormat="1" applyBorder="1" applyAlignment="1">
      <alignment horizontal="center" vertical="center"/>
    </xf>
    <xf numFmtId="2" fontId="1" fillId="0" borderId="1" xfId="5" applyNumberFormat="1" applyBorder="1" applyAlignment="1">
      <alignment horizontal="center" vertical="center"/>
    </xf>
    <xf numFmtId="165" fontId="23" fillId="0" borderId="1" xfId="5" applyNumberFormat="1" applyFont="1" applyBorder="1" applyAlignment="1">
      <alignment horizontal="center" vertical="center"/>
    </xf>
    <xf numFmtId="165" fontId="36" fillId="0" borderId="1" xfId="5" applyNumberFormat="1" applyFont="1" applyBorder="1" applyAlignment="1">
      <alignment horizontal="center" vertical="center" wrapText="1"/>
    </xf>
  </cellXfs>
  <cellStyles count="14">
    <cellStyle name="ИтогоБИМ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5" xfId="7" xr:uid="{00000000-0005-0000-0000-000007000000}"/>
    <cellStyle name="Обычный 5 2" xfId="8" xr:uid="{00000000-0005-0000-0000-000008000000}"/>
    <cellStyle name="Обычный 6" xfId="9" xr:uid="{00000000-0005-0000-0000-000009000000}"/>
    <cellStyle name="Обычный 7" xfId="10" xr:uid="{00000000-0005-0000-0000-00000A000000}"/>
    <cellStyle name="СводРасч" xfId="11" xr:uid="{00000000-0005-0000-0000-00000B000000}"/>
    <cellStyle name="Титул" xfId="12" xr:uid="{00000000-0005-0000-0000-00000C000000}"/>
    <cellStyle name="Хвост" xfId="13" xr:uid="{00000000-0005-0000-0000-00000D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workbookViewId="0"/>
  </sheetViews>
  <sheetFormatPr defaultColWidth="8.7109375" defaultRowHeight="12.75" x14ac:dyDescent="0.2"/>
  <sheetData>
    <row r="1" spans="1:20" x14ac:dyDescent="0.2">
      <c r="A1">
        <v>106</v>
      </c>
      <c r="B1">
        <v>54</v>
      </c>
      <c r="C1">
        <v>1</v>
      </c>
      <c r="D1">
        <v>5</v>
      </c>
      <c r="E1">
        <v>10001</v>
      </c>
      <c r="F1" t="s">
        <v>0</v>
      </c>
      <c r="G1" s="1" t="s">
        <v>1</v>
      </c>
      <c r="H1" s="1" t="s">
        <v>2</v>
      </c>
      <c r="I1">
        <f>Source!BZ33</f>
        <v>118</v>
      </c>
      <c r="J1">
        <f>Source!CA33</f>
        <v>63</v>
      </c>
      <c r="K1">
        <v>160</v>
      </c>
      <c r="L1">
        <v>61392</v>
      </c>
      <c r="M1">
        <v>28885</v>
      </c>
      <c r="N1">
        <v>4266</v>
      </c>
      <c r="O1">
        <v>206</v>
      </c>
      <c r="P1">
        <v>28241</v>
      </c>
      <c r="Q1">
        <v>179</v>
      </c>
      <c r="R1">
        <v>1</v>
      </c>
      <c r="S1">
        <v>30836</v>
      </c>
      <c r="T1">
        <v>15709</v>
      </c>
    </row>
    <row r="2" spans="1:20" x14ac:dyDescent="0.2">
      <c r="A2">
        <v>106</v>
      </c>
      <c r="B2">
        <v>54</v>
      </c>
      <c r="C2">
        <v>1</v>
      </c>
      <c r="D2">
        <v>9</v>
      </c>
      <c r="E2">
        <v>10001</v>
      </c>
      <c r="F2" t="s">
        <v>0</v>
      </c>
      <c r="G2" s="1" t="s">
        <v>1</v>
      </c>
      <c r="H2" s="1" t="s">
        <v>2</v>
      </c>
      <c r="I2">
        <f>Source!BZ41</f>
        <v>118</v>
      </c>
      <c r="J2">
        <f>Source!CA41</f>
        <v>63</v>
      </c>
      <c r="K2">
        <v>160</v>
      </c>
      <c r="L2">
        <v>2276</v>
      </c>
      <c r="M2">
        <v>2229</v>
      </c>
      <c r="N2">
        <v>47</v>
      </c>
      <c r="O2">
        <v>9</v>
      </c>
      <c r="P2">
        <v>0</v>
      </c>
      <c r="Q2">
        <v>14</v>
      </c>
      <c r="R2">
        <v>0</v>
      </c>
      <c r="S2">
        <v>2372</v>
      </c>
      <c r="T2">
        <v>1209</v>
      </c>
    </row>
    <row r="3" spans="1:20" x14ac:dyDescent="0.2">
      <c r="A3">
        <v>106</v>
      </c>
      <c r="B3">
        <v>54</v>
      </c>
      <c r="C3">
        <v>1</v>
      </c>
      <c r="D3">
        <v>11</v>
      </c>
      <c r="E3">
        <v>10001</v>
      </c>
      <c r="F3" t="s">
        <v>0</v>
      </c>
      <c r="G3" s="1" t="s">
        <v>1</v>
      </c>
      <c r="H3" s="1" t="s">
        <v>2</v>
      </c>
      <c r="I3">
        <f>Source!BZ45</f>
        <v>118</v>
      </c>
      <c r="J3">
        <f>Source!CA45</f>
        <v>63</v>
      </c>
      <c r="K3">
        <v>160</v>
      </c>
      <c r="L3">
        <v>7910</v>
      </c>
      <c r="M3">
        <v>2021</v>
      </c>
      <c r="N3">
        <v>106</v>
      </c>
      <c r="O3">
        <v>8</v>
      </c>
      <c r="P3">
        <v>5783</v>
      </c>
      <c r="Q3">
        <v>13</v>
      </c>
      <c r="R3">
        <v>0</v>
      </c>
      <c r="S3">
        <v>2151</v>
      </c>
      <c r="T3">
        <v>1096</v>
      </c>
    </row>
    <row r="4" spans="1:20" x14ac:dyDescent="0.2">
      <c r="A4">
        <v>106</v>
      </c>
      <c r="B4">
        <v>54</v>
      </c>
      <c r="C4">
        <v>1</v>
      </c>
      <c r="D4">
        <v>16</v>
      </c>
      <c r="E4">
        <v>10001</v>
      </c>
      <c r="F4" t="s">
        <v>0</v>
      </c>
      <c r="G4" s="1" t="s">
        <v>1</v>
      </c>
      <c r="H4" s="1" t="s">
        <v>2</v>
      </c>
      <c r="I4">
        <f>Source!BZ55</f>
        <v>118</v>
      </c>
      <c r="J4">
        <f>Source!CA55</f>
        <v>63</v>
      </c>
      <c r="K4">
        <v>160</v>
      </c>
      <c r="L4">
        <v>6983</v>
      </c>
      <c r="M4">
        <v>3965</v>
      </c>
      <c r="N4">
        <v>0</v>
      </c>
      <c r="O4">
        <v>0</v>
      </c>
      <c r="P4">
        <v>3018</v>
      </c>
      <c r="Q4">
        <v>25</v>
      </c>
      <c r="R4">
        <v>0</v>
      </c>
      <c r="S4">
        <v>4203</v>
      </c>
      <c r="T4">
        <v>2141</v>
      </c>
    </row>
    <row r="5" spans="1:20" x14ac:dyDescent="0.2">
      <c r="A5">
        <v>108</v>
      </c>
      <c r="B5">
        <v>55</v>
      </c>
      <c r="C5">
        <v>1</v>
      </c>
      <c r="D5">
        <v>17</v>
      </c>
      <c r="E5">
        <v>12001</v>
      </c>
      <c r="F5" t="s">
        <v>3</v>
      </c>
      <c r="G5" s="1" t="s">
        <v>1</v>
      </c>
      <c r="H5" s="1" t="s">
        <v>2</v>
      </c>
      <c r="I5">
        <f>Source!BZ57</f>
        <v>120</v>
      </c>
      <c r="J5">
        <f>Source!CA57</f>
        <v>65</v>
      </c>
      <c r="K5">
        <v>163</v>
      </c>
      <c r="L5">
        <v>3355</v>
      </c>
      <c r="M5">
        <v>3216</v>
      </c>
      <c r="N5">
        <v>37</v>
      </c>
      <c r="O5">
        <v>12</v>
      </c>
      <c r="P5">
        <v>102</v>
      </c>
      <c r="Q5">
        <v>20</v>
      </c>
      <c r="R5">
        <v>0</v>
      </c>
      <c r="S5">
        <v>3486</v>
      </c>
      <c r="T5">
        <v>1775</v>
      </c>
    </row>
    <row r="6" spans="1:20" x14ac:dyDescent="0.2">
      <c r="A6">
        <v>95</v>
      </c>
      <c r="B6">
        <v>47</v>
      </c>
      <c r="C6">
        <v>1</v>
      </c>
      <c r="D6">
        <v>13</v>
      </c>
      <c r="E6">
        <v>15001</v>
      </c>
      <c r="F6" t="s">
        <v>4</v>
      </c>
      <c r="G6" s="1" t="s">
        <v>1</v>
      </c>
      <c r="H6" s="1" t="s">
        <v>2</v>
      </c>
      <c r="I6">
        <f>Source!BZ49</f>
        <v>105</v>
      </c>
      <c r="J6">
        <f>Source!CA49</f>
        <v>55</v>
      </c>
      <c r="K6">
        <v>142</v>
      </c>
      <c r="L6">
        <v>28253</v>
      </c>
      <c r="M6">
        <v>26450</v>
      </c>
      <c r="N6">
        <v>420</v>
      </c>
      <c r="O6">
        <v>19</v>
      </c>
      <c r="P6">
        <v>1383</v>
      </c>
      <c r="Q6">
        <v>156</v>
      </c>
      <c r="R6">
        <v>0</v>
      </c>
      <c r="S6">
        <v>25146</v>
      </c>
      <c r="T6">
        <v>12440</v>
      </c>
    </row>
    <row r="7" spans="1:20" x14ac:dyDescent="0.2">
      <c r="A7">
        <v>82</v>
      </c>
      <c r="B7">
        <v>62</v>
      </c>
      <c r="C7">
        <v>1</v>
      </c>
      <c r="D7">
        <v>1</v>
      </c>
      <c r="E7">
        <v>56001</v>
      </c>
      <c r="F7" t="s">
        <v>5</v>
      </c>
      <c r="G7" s="1"/>
      <c r="H7" s="1"/>
      <c r="I7">
        <f>Source!BZ25</f>
        <v>82</v>
      </c>
      <c r="J7">
        <f>Source!CA25</f>
        <v>62</v>
      </c>
      <c r="K7">
        <v>144</v>
      </c>
      <c r="L7">
        <v>5512</v>
      </c>
      <c r="M7">
        <v>5234</v>
      </c>
      <c r="N7">
        <v>278</v>
      </c>
      <c r="O7">
        <v>115</v>
      </c>
      <c r="P7">
        <v>0</v>
      </c>
      <c r="Q7">
        <v>35</v>
      </c>
      <c r="R7">
        <v>1</v>
      </c>
      <c r="S7">
        <v>4386</v>
      </c>
      <c r="T7">
        <v>3316</v>
      </c>
    </row>
    <row r="8" spans="1:20" x14ac:dyDescent="0.2">
      <c r="A8">
        <v>82</v>
      </c>
      <c r="B8">
        <v>62</v>
      </c>
      <c r="C8">
        <v>1</v>
      </c>
      <c r="D8">
        <v>2</v>
      </c>
      <c r="E8">
        <v>56001</v>
      </c>
      <c r="F8" t="s">
        <v>5</v>
      </c>
      <c r="G8" s="1"/>
      <c r="H8" s="1"/>
      <c r="I8">
        <f>Source!BZ27</f>
        <v>82</v>
      </c>
      <c r="J8">
        <f>Source!CA27</f>
        <v>62</v>
      </c>
      <c r="K8">
        <v>144</v>
      </c>
      <c r="L8">
        <v>13354</v>
      </c>
      <c r="M8">
        <v>12814</v>
      </c>
      <c r="N8">
        <v>540</v>
      </c>
      <c r="O8">
        <v>418</v>
      </c>
      <c r="P8">
        <v>0</v>
      </c>
      <c r="Q8">
        <v>87</v>
      </c>
      <c r="R8">
        <v>2</v>
      </c>
      <c r="S8">
        <v>10850</v>
      </c>
      <c r="T8">
        <v>8204</v>
      </c>
    </row>
    <row r="9" spans="1:20" x14ac:dyDescent="0.2">
      <c r="A9">
        <v>82</v>
      </c>
      <c r="B9">
        <v>62</v>
      </c>
      <c r="C9">
        <v>1</v>
      </c>
      <c r="D9">
        <v>3</v>
      </c>
      <c r="E9">
        <v>56001</v>
      </c>
      <c r="F9" t="s">
        <v>5</v>
      </c>
      <c r="G9" s="1"/>
      <c r="H9" s="1"/>
      <c r="I9">
        <f>Source!BZ29</f>
        <v>82</v>
      </c>
      <c r="J9">
        <f>Source!CA29</f>
        <v>62</v>
      </c>
      <c r="K9">
        <v>144</v>
      </c>
      <c r="L9">
        <v>9418</v>
      </c>
      <c r="M9">
        <v>9209</v>
      </c>
      <c r="N9">
        <v>209</v>
      </c>
      <c r="O9">
        <v>66</v>
      </c>
      <c r="P9">
        <v>0</v>
      </c>
      <c r="Q9">
        <v>65</v>
      </c>
      <c r="R9">
        <v>0</v>
      </c>
      <c r="S9">
        <v>7606</v>
      </c>
      <c r="T9">
        <v>5751</v>
      </c>
    </row>
    <row r="10" spans="1:20" x14ac:dyDescent="0.2">
      <c r="A10">
        <v>83</v>
      </c>
      <c r="B10">
        <v>65</v>
      </c>
      <c r="C10">
        <v>1</v>
      </c>
      <c r="D10">
        <v>4</v>
      </c>
      <c r="E10">
        <v>58001</v>
      </c>
      <c r="F10" t="s">
        <v>6</v>
      </c>
      <c r="G10" s="1"/>
      <c r="H10" s="1"/>
      <c r="I10">
        <f>Source!BZ31</f>
        <v>83</v>
      </c>
      <c r="J10">
        <f>Source!CA31</f>
        <v>65</v>
      </c>
      <c r="K10">
        <v>148</v>
      </c>
      <c r="L10">
        <v>686</v>
      </c>
      <c r="M10">
        <v>686</v>
      </c>
      <c r="N10">
        <v>0</v>
      </c>
      <c r="O10">
        <v>0</v>
      </c>
      <c r="P10">
        <v>0</v>
      </c>
      <c r="Q10">
        <v>5</v>
      </c>
      <c r="R10">
        <v>0</v>
      </c>
      <c r="S10">
        <v>569</v>
      </c>
      <c r="T10">
        <v>446</v>
      </c>
    </row>
    <row r="11" spans="1:20" x14ac:dyDescent="0.2">
      <c r="A11">
        <v>0</v>
      </c>
      <c r="B11">
        <v>0</v>
      </c>
      <c r="C11">
        <v>1</v>
      </c>
      <c r="D11">
        <v>6</v>
      </c>
      <c r="E11">
        <v>500001</v>
      </c>
      <c r="F11" t="s">
        <v>7</v>
      </c>
      <c r="G11" s="1"/>
      <c r="H11" s="1"/>
      <c r="I11">
        <f>Source!BZ35</f>
        <v>0</v>
      </c>
      <c r="J11">
        <f>Source!CA35</f>
        <v>0</v>
      </c>
      <c r="K11">
        <v>0</v>
      </c>
      <c r="L11">
        <v>270793</v>
      </c>
      <c r="M11">
        <v>0</v>
      </c>
      <c r="N11">
        <v>0</v>
      </c>
      <c r="O11">
        <v>0</v>
      </c>
      <c r="P11">
        <v>270793</v>
      </c>
      <c r="Q11">
        <v>0</v>
      </c>
      <c r="R11">
        <v>0</v>
      </c>
      <c r="S11">
        <v>0</v>
      </c>
      <c r="T11">
        <v>0</v>
      </c>
    </row>
    <row r="12" spans="1:20" x14ac:dyDescent="0.2">
      <c r="A12">
        <v>0</v>
      </c>
      <c r="B12">
        <v>0</v>
      </c>
      <c r="C12">
        <v>1</v>
      </c>
      <c r="D12">
        <v>7</v>
      </c>
      <c r="E12">
        <v>500001</v>
      </c>
      <c r="F12" t="s">
        <v>7</v>
      </c>
      <c r="G12" s="1"/>
      <c r="H12" s="1"/>
      <c r="I12">
        <f>Source!BZ37</f>
        <v>0</v>
      </c>
      <c r="J12">
        <f>Source!CA37</f>
        <v>0</v>
      </c>
      <c r="K12">
        <v>0</v>
      </c>
      <c r="L12">
        <v>9801</v>
      </c>
      <c r="M12">
        <v>0</v>
      </c>
      <c r="N12">
        <v>0</v>
      </c>
      <c r="O12">
        <v>0</v>
      </c>
      <c r="P12">
        <v>9801</v>
      </c>
      <c r="Q12">
        <v>0</v>
      </c>
      <c r="R12">
        <v>0</v>
      </c>
      <c r="S12">
        <v>0</v>
      </c>
      <c r="T12">
        <v>0</v>
      </c>
    </row>
    <row r="13" spans="1:20" x14ac:dyDescent="0.2">
      <c r="A13">
        <v>0</v>
      </c>
      <c r="B13">
        <v>0</v>
      </c>
      <c r="C13">
        <v>1</v>
      </c>
      <c r="D13">
        <v>8</v>
      </c>
      <c r="E13">
        <v>500001</v>
      </c>
      <c r="F13" t="s">
        <v>7</v>
      </c>
      <c r="G13" s="1"/>
      <c r="H13" s="1"/>
      <c r="I13">
        <f>Source!BZ39</f>
        <v>0</v>
      </c>
      <c r="J13">
        <f>Source!CA39</f>
        <v>0</v>
      </c>
      <c r="K13">
        <v>0</v>
      </c>
      <c r="L13">
        <v>83448</v>
      </c>
      <c r="M13">
        <v>0</v>
      </c>
      <c r="N13">
        <v>0</v>
      </c>
      <c r="O13">
        <v>0</v>
      </c>
      <c r="P13">
        <v>83448</v>
      </c>
      <c r="Q13">
        <v>0</v>
      </c>
      <c r="R13">
        <v>0</v>
      </c>
      <c r="S13">
        <v>0</v>
      </c>
      <c r="T13">
        <v>0</v>
      </c>
    </row>
    <row r="14" spans="1:20" x14ac:dyDescent="0.2">
      <c r="A14">
        <v>0</v>
      </c>
      <c r="B14">
        <v>0</v>
      </c>
      <c r="C14">
        <v>1</v>
      </c>
      <c r="D14">
        <v>10</v>
      </c>
      <c r="E14">
        <v>500001</v>
      </c>
      <c r="F14" t="s">
        <v>7</v>
      </c>
      <c r="G14" s="1"/>
      <c r="H14" s="1"/>
      <c r="I14">
        <f>Source!BZ43</f>
        <v>0</v>
      </c>
      <c r="J14">
        <f>Source!CA43</f>
        <v>0</v>
      </c>
      <c r="K14">
        <v>0</v>
      </c>
      <c r="L14">
        <v>944</v>
      </c>
      <c r="M14">
        <v>0</v>
      </c>
      <c r="N14">
        <v>0</v>
      </c>
      <c r="O14">
        <v>0</v>
      </c>
      <c r="P14">
        <v>944</v>
      </c>
      <c r="Q14">
        <v>0</v>
      </c>
      <c r="R14">
        <v>0</v>
      </c>
      <c r="S14">
        <v>0</v>
      </c>
      <c r="T14">
        <v>0</v>
      </c>
    </row>
    <row r="15" spans="1:20" x14ac:dyDescent="0.2">
      <c r="A15">
        <v>0</v>
      </c>
      <c r="B15">
        <v>0</v>
      </c>
      <c r="C15">
        <v>1</v>
      </c>
      <c r="D15">
        <v>12</v>
      </c>
      <c r="E15">
        <v>500001</v>
      </c>
      <c r="F15" t="s">
        <v>7</v>
      </c>
      <c r="G15" s="1"/>
      <c r="H15" s="1"/>
      <c r="I15">
        <f>Source!BZ47</f>
        <v>0</v>
      </c>
      <c r="J15">
        <f>Source!CA47</f>
        <v>0</v>
      </c>
      <c r="K15">
        <v>0</v>
      </c>
      <c r="L15">
        <v>20857</v>
      </c>
      <c r="M15">
        <v>0</v>
      </c>
      <c r="N15">
        <v>0</v>
      </c>
      <c r="O15">
        <v>0</v>
      </c>
      <c r="P15">
        <v>20857</v>
      </c>
      <c r="Q15">
        <v>0</v>
      </c>
      <c r="R15">
        <v>0</v>
      </c>
      <c r="S15">
        <v>0</v>
      </c>
      <c r="T15">
        <v>0</v>
      </c>
    </row>
    <row r="16" spans="1:20" x14ac:dyDescent="0.2">
      <c r="A16">
        <v>0</v>
      </c>
      <c r="B16">
        <v>0</v>
      </c>
      <c r="C16">
        <v>1</v>
      </c>
      <c r="D16">
        <v>14</v>
      </c>
      <c r="E16">
        <v>500001</v>
      </c>
      <c r="F16" t="s">
        <v>7</v>
      </c>
      <c r="G16" s="1"/>
      <c r="H16" s="1"/>
      <c r="I16">
        <f>Source!BZ51</f>
        <v>0</v>
      </c>
      <c r="J16">
        <f>Source!CA51</f>
        <v>0</v>
      </c>
      <c r="K16">
        <v>0</v>
      </c>
      <c r="L16">
        <v>20895</v>
      </c>
      <c r="M16">
        <v>0</v>
      </c>
      <c r="N16">
        <v>0</v>
      </c>
      <c r="O16">
        <v>0</v>
      </c>
      <c r="P16">
        <v>20895</v>
      </c>
      <c r="Q16">
        <v>0</v>
      </c>
      <c r="R16">
        <v>0</v>
      </c>
      <c r="S16">
        <v>0</v>
      </c>
      <c r="T16">
        <v>0</v>
      </c>
    </row>
    <row r="17" spans="1:20" x14ac:dyDescent="0.2">
      <c r="A17">
        <v>0</v>
      </c>
      <c r="B17">
        <v>0</v>
      </c>
      <c r="C17">
        <v>1</v>
      </c>
      <c r="D17">
        <v>15</v>
      </c>
      <c r="E17">
        <v>500001</v>
      </c>
      <c r="F17" t="s">
        <v>7</v>
      </c>
      <c r="G17" s="1"/>
      <c r="H17" s="1"/>
      <c r="I17">
        <f>Source!BZ53</f>
        <v>0</v>
      </c>
      <c r="J17">
        <f>Source!CA53</f>
        <v>0</v>
      </c>
      <c r="K17">
        <v>0</v>
      </c>
      <c r="L17">
        <v>9634</v>
      </c>
      <c r="M17">
        <v>0</v>
      </c>
      <c r="N17">
        <v>0</v>
      </c>
      <c r="O17">
        <v>0</v>
      </c>
      <c r="P17">
        <v>9634</v>
      </c>
      <c r="Q17">
        <v>0</v>
      </c>
      <c r="R17">
        <v>0</v>
      </c>
      <c r="S17">
        <v>0</v>
      </c>
      <c r="T17">
        <v>0</v>
      </c>
    </row>
    <row r="18" spans="1:20" x14ac:dyDescent="0.2">
      <c r="A18">
        <v>0</v>
      </c>
      <c r="B18">
        <v>0</v>
      </c>
      <c r="C18">
        <v>1</v>
      </c>
      <c r="D18">
        <v>18</v>
      </c>
      <c r="E18">
        <v>500001</v>
      </c>
      <c r="F18" t="s">
        <v>7</v>
      </c>
      <c r="G18" s="1"/>
      <c r="H18" s="1"/>
      <c r="I18">
        <f>Source!BZ59</f>
        <v>0</v>
      </c>
      <c r="J18">
        <f>Source!CA59</f>
        <v>0</v>
      </c>
      <c r="K18">
        <v>0</v>
      </c>
      <c r="L18">
        <v>7035</v>
      </c>
      <c r="M18">
        <v>0</v>
      </c>
      <c r="N18">
        <v>0</v>
      </c>
      <c r="O18">
        <v>0</v>
      </c>
      <c r="P18">
        <v>7035</v>
      </c>
      <c r="Q18">
        <v>0</v>
      </c>
      <c r="R18">
        <v>0</v>
      </c>
      <c r="S18">
        <v>0</v>
      </c>
      <c r="T18">
        <v>0</v>
      </c>
    </row>
    <row r="19" spans="1:20" x14ac:dyDescent="0.2">
      <c r="A19">
        <v>0</v>
      </c>
      <c r="B19">
        <v>0</v>
      </c>
      <c r="C19">
        <v>1</v>
      </c>
      <c r="D19">
        <v>20</v>
      </c>
      <c r="E19">
        <v>700001</v>
      </c>
      <c r="F19" t="s">
        <v>8</v>
      </c>
      <c r="G19" s="1"/>
      <c r="H19" s="1"/>
      <c r="I19">
        <f>Source!BZ63</f>
        <v>0</v>
      </c>
      <c r="J19">
        <f>Source!CA63</f>
        <v>0</v>
      </c>
      <c r="K19">
        <v>0</v>
      </c>
      <c r="L19">
        <v>3442</v>
      </c>
      <c r="M19">
        <v>0</v>
      </c>
      <c r="N19">
        <v>3442</v>
      </c>
      <c r="O19">
        <v>1703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">
      <c r="A20">
        <v>0</v>
      </c>
      <c r="B20">
        <v>0</v>
      </c>
      <c r="C20">
        <v>1</v>
      </c>
      <c r="D20">
        <v>19</v>
      </c>
      <c r="E20">
        <v>700004</v>
      </c>
      <c r="F20" t="s">
        <v>9</v>
      </c>
      <c r="G20" s="1"/>
      <c r="H20" s="1"/>
      <c r="I20">
        <f>Source!BZ61</f>
        <v>0</v>
      </c>
      <c r="J20">
        <f>Source!CA61</f>
        <v>0</v>
      </c>
      <c r="K20">
        <v>0</v>
      </c>
      <c r="L20">
        <v>5351</v>
      </c>
      <c r="M20">
        <v>2495</v>
      </c>
      <c r="N20">
        <v>2856</v>
      </c>
      <c r="O20">
        <v>0</v>
      </c>
      <c r="P20">
        <v>0</v>
      </c>
      <c r="Q20">
        <v>7</v>
      </c>
      <c r="R20">
        <v>0</v>
      </c>
      <c r="S20">
        <v>0</v>
      </c>
      <c r="T20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workbookViewId="0"/>
  </sheetViews>
  <sheetFormatPr defaultColWidth="8.7109375" defaultRowHeight="12.75" x14ac:dyDescent="0.2"/>
  <cols>
    <col min="1" max="1" width="6.7109375" customWidth="1"/>
    <col min="2" max="2" width="75.7109375" customWidth="1"/>
    <col min="3" max="5" width="15.7109375" customWidth="1"/>
  </cols>
  <sheetData>
    <row r="1" spans="1:5" x14ac:dyDescent="0.2">
      <c r="A1" s="2" t="str">
        <f>Source!B1</f>
        <v>Smeta.RU  (495) 974-1589</v>
      </c>
    </row>
    <row r="2" spans="1:5" ht="14.25" x14ac:dyDescent="0.2">
      <c r="C2" s="3"/>
      <c r="D2" s="3"/>
    </row>
    <row r="3" spans="1:5" ht="15" x14ac:dyDescent="0.25">
      <c r="C3" s="3"/>
      <c r="D3" s="4" t="s">
        <v>10</v>
      </c>
    </row>
    <row r="4" spans="1:5" ht="15" x14ac:dyDescent="0.25">
      <c r="C4" s="4"/>
      <c r="D4" s="4"/>
    </row>
    <row r="5" spans="1:5" ht="15" x14ac:dyDescent="0.25">
      <c r="C5" s="160" t="s">
        <v>11</v>
      </c>
      <c r="D5" s="160"/>
    </row>
    <row r="6" spans="1:5" ht="15" x14ac:dyDescent="0.25">
      <c r="C6" s="5"/>
      <c r="D6" s="5"/>
    </row>
    <row r="7" spans="1:5" ht="15" x14ac:dyDescent="0.25">
      <c r="C7" s="160" t="s">
        <v>11</v>
      </c>
      <c r="D7" s="160"/>
    </row>
    <row r="8" spans="1:5" ht="15" x14ac:dyDescent="0.25">
      <c r="C8" s="5"/>
      <c r="D8" s="5"/>
    </row>
    <row r="9" spans="1:5" ht="15" x14ac:dyDescent="0.25">
      <c r="C9" s="4" t="s">
        <v>12</v>
      </c>
      <c r="D9" s="3"/>
    </row>
    <row r="10" spans="1:5" ht="14.25" x14ac:dyDescent="0.2">
      <c r="A10" s="3"/>
      <c r="B10" s="3"/>
      <c r="C10" s="3"/>
      <c r="D10" s="3"/>
      <c r="E10" s="3"/>
    </row>
    <row r="11" spans="1:5" ht="15.75" x14ac:dyDescent="0.25">
      <c r="A11" s="161" t="str">
        <f>CONCATENATE("Дефектный акт ", IF(Source!AN15&lt;&gt;"", Source!AN15," "))</f>
        <v xml:space="preserve">Дефектный акт  </v>
      </c>
      <c r="B11" s="161"/>
      <c r="C11" s="161"/>
      <c r="D11" s="161"/>
      <c r="E11" s="3"/>
    </row>
    <row r="12" spans="1:5" ht="15" x14ac:dyDescent="0.25">
      <c r="A12" s="162" t="str">
        <f>CONCATENATE("На капитальный ремонт ", Source!F12)</f>
        <v>На капитальный ремонт 02-01-01</v>
      </c>
      <c r="B12" s="162"/>
      <c r="C12" s="162"/>
      <c r="D12" s="162"/>
      <c r="E12" s="3"/>
    </row>
    <row r="13" spans="1:5" ht="14.25" x14ac:dyDescent="0.2">
      <c r="A13" s="3"/>
      <c r="B13" s="3"/>
      <c r="C13" s="3"/>
      <c r="D13" s="3"/>
      <c r="E13" s="3"/>
    </row>
    <row r="14" spans="1:5" ht="15" x14ac:dyDescent="0.2">
      <c r="A14" s="3"/>
      <c r="B14" s="6" t="s">
        <v>13</v>
      </c>
      <c r="C14" s="3"/>
      <c r="D14" s="3"/>
      <c r="E14" s="3"/>
    </row>
    <row r="15" spans="1:5" ht="15" x14ac:dyDescent="0.2">
      <c r="A15" s="3"/>
      <c r="B15" s="6" t="s">
        <v>14</v>
      </c>
      <c r="C15" s="3"/>
      <c r="D15" s="3"/>
      <c r="E15" s="3"/>
    </row>
    <row r="16" spans="1:5" ht="15" x14ac:dyDescent="0.2">
      <c r="A16" s="3"/>
      <c r="B16" s="6" t="s">
        <v>15</v>
      </c>
      <c r="C16" s="3"/>
      <c r="D16" s="3"/>
      <c r="E16" s="3"/>
    </row>
    <row r="17" spans="1:5" ht="28.5" x14ac:dyDescent="0.2">
      <c r="A17" s="7" t="s">
        <v>16</v>
      </c>
      <c r="B17" s="7" t="s">
        <v>17</v>
      </c>
      <c r="C17" s="7" t="s">
        <v>18</v>
      </c>
      <c r="D17" s="7" t="s">
        <v>19</v>
      </c>
      <c r="E17" s="8" t="s">
        <v>20</v>
      </c>
    </row>
    <row r="18" spans="1:5" ht="14.25" x14ac:dyDescent="0.2">
      <c r="A18" s="9">
        <v>1</v>
      </c>
      <c r="B18" s="9">
        <v>2</v>
      </c>
      <c r="C18" s="9">
        <v>3</v>
      </c>
      <c r="D18" s="9">
        <v>4</v>
      </c>
      <c r="E18" s="10">
        <v>5</v>
      </c>
    </row>
    <row r="19" spans="1:5" ht="16.5" x14ac:dyDescent="0.25">
      <c r="A19" s="163" t="str">
        <f>CONCATENATE("Локальная смета: ", Source!G20)</f>
        <v>Локальная смета: Замена оконных блоков</v>
      </c>
      <c r="B19" s="163"/>
      <c r="C19" s="163"/>
      <c r="D19" s="163"/>
      <c r="E19" s="163"/>
    </row>
    <row r="20" spans="1:5" ht="28.5" x14ac:dyDescent="0.2">
      <c r="A20" s="11" t="str">
        <f>Source!E24</f>
        <v>1</v>
      </c>
      <c r="B20" s="12" t="str">
        <f>Source!G24</f>
        <v>Демонтаж оконных коробок в каменных стенах с отбивкой штукатурки в откосах</v>
      </c>
      <c r="C20" s="13" t="str">
        <f>Source!H24</f>
        <v>100 КОРОБОК</v>
      </c>
      <c r="D20" s="14">
        <f>Source!I24</f>
        <v>0.27</v>
      </c>
      <c r="E20" s="11"/>
    </row>
    <row r="21" spans="1:5" ht="42.75" x14ac:dyDescent="0.2">
      <c r="A21" s="11" t="str">
        <f>Source!E26</f>
        <v>2</v>
      </c>
      <c r="B21" s="12" t="str">
        <f>Source!G26</f>
        <v>Снятие оконных переплетов остекленных</v>
      </c>
      <c r="C21" s="13" t="str">
        <f>Source!H26</f>
        <v>100 М2 ОКОННЫХ ПЕРЕПЛЕТОВ</v>
      </c>
      <c r="D21" s="14">
        <f>Source!I26</f>
        <v>1.88</v>
      </c>
      <c r="E21" s="11"/>
    </row>
    <row r="22" spans="1:5" ht="14.25" x14ac:dyDescent="0.2">
      <c r="A22" s="11" t="str">
        <f>Source!E28</f>
        <v>3</v>
      </c>
      <c r="B22" s="12" t="str">
        <f>Source!G28</f>
        <v>Снятие подоконных досок бетонных и мозаичных</v>
      </c>
      <c r="C22" s="13" t="str">
        <f>Source!H28</f>
        <v>100 м2</v>
      </c>
      <c r="D22" s="14">
        <f>Source!I28</f>
        <v>0.23599999999999999</v>
      </c>
      <c r="E22" s="11"/>
    </row>
    <row r="23" spans="1:5" ht="28.5" x14ac:dyDescent="0.2">
      <c r="A23" s="11" t="str">
        <f>Source!E30</f>
        <v>4</v>
      </c>
      <c r="B23" s="12" t="str">
        <f>Source!G30</f>
        <v>Разборка мелких покрытий и обделок из листовой стали поясков, сандриков, желобов, отливов, свесов и т.п.</v>
      </c>
      <c r="C23" s="13" t="str">
        <f>Source!H30</f>
        <v>100 М ТРУБ И ПОКРЫТИЙ</v>
      </c>
      <c r="D23" s="14">
        <f>Source!I30</f>
        <v>0.52400000000000002</v>
      </c>
      <c r="E23" s="11"/>
    </row>
    <row r="24" spans="1:5" ht="57" x14ac:dyDescent="0.2">
      <c r="A24" s="11" t="str">
        <f>Source!E32</f>
        <v>5</v>
      </c>
      <c r="B24" s="12" t="str">
        <f>Source!G32</f>
        <v>Установка в жилых и общественных зданиях оконных блоков из ПВХ профилей поворотных (откидных, поворотно-откидных) с площадью проема более 2 м2 трехстворчатых, в том числе при наличии створок глухого остекления</v>
      </c>
      <c r="C24" s="13" t="str">
        <f>Source!H32</f>
        <v>100 М2 ПРОЕМОВ</v>
      </c>
      <c r="D24" s="14">
        <f>Source!I32</f>
        <v>1.0437000000000001</v>
      </c>
      <c r="E24" s="11"/>
    </row>
    <row r="25" spans="1:5" ht="42.75" x14ac:dyDescent="0.2">
      <c r="A25" s="11" t="str">
        <f>Source!E34</f>
        <v>6</v>
      </c>
      <c r="B25" s="12" t="str">
        <f>Source!G34</f>
        <v>Блок оконный пластиковый трехстворчатый, с поворотной и поворотно-откидной створкой, двухкамерным стеклопакетом (32 мм), площадью более 3,5 м2</v>
      </c>
      <c r="C25" s="13" t="str">
        <f>Source!H34</f>
        <v>м2</v>
      </c>
      <c r="D25" s="14">
        <f>Source!I34</f>
        <v>81.06</v>
      </c>
      <c r="E25" s="11"/>
    </row>
    <row r="26" spans="1:5" ht="42.75" x14ac:dyDescent="0.2">
      <c r="A26" s="11" t="str">
        <f>Source!E36</f>
        <v>7</v>
      </c>
      <c r="B26" s="12" t="str">
        <f>Source!G36</f>
        <v>Блок оконный пластиковый трехстворчатый, с поворотной и поворотно-откидной створкой, двухкамерным стеклопакетом (32 мм), площадью до 3 м2</v>
      </c>
      <c r="C26" s="13" t="str">
        <f>Source!H36</f>
        <v>м2</v>
      </c>
      <c r="D26" s="14">
        <f>Source!I36</f>
        <v>2.52</v>
      </c>
      <c r="E26" s="11"/>
    </row>
    <row r="27" spans="1:5" ht="42.75" x14ac:dyDescent="0.2">
      <c r="A27" s="11" t="str">
        <f>Source!E38</f>
        <v>8</v>
      </c>
      <c r="B27" s="12" t="str">
        <f>Source!G38</f>
        <v>Блок оконный пластиковый трехстворчатый, с поворотной и поворотно-откидной створкой, двухкамерным стеклопакетом (32 мм), площадью до 2,5 м2</v>
      </c>
      <c r="C27" s="13" t="str">
        <f>Source!H38</f>
        <v>м2</v>
      </c>
      <c r="D27" s="14">
        <f>Source!I38</f>
        <v>20.79</v>
      </c>
      <c r="E27" s="11"/>
    </row>
    <row r="28" spans="1:5" ht="14.25" x14ac:dyDescent="0.2">
      <c r="A28" s="11" t="str">
        <f>Source!E40</f>
        <v>9</v>
      </c>
      <c r="B28" s="12" t="str">
        <f>Source!G40</f>
        <v>Установка приборов оконных</v>
      </c>
      <c r="C28" s="13" t="str">
        <f>Source!H40</f>
        <v>100 компл.</v>
      </c>
      <c r="D28" s="14">
        <f>Source!I40</f>
        <v>0.27</v>
      </c>
      <c r="E28" s="11"/>
    </row>
    <row r="29" spans="1:5" ht="14.25" x14ac:dyDescent="0.2">
      <c r="A29" s="11" t="str">
        <f>Source!E42</f>
        <v>10</v>
      </c>
      <c r="B29" s="12" t="str">
        <f>Source!G42</f>
        <v>Упор оконный стальной</v>
      </c>
      <c r="C29" s="13" t="str">
        <f>Source!H42</f>
        <v>компл.</v>
      </c>
      <c r="D29" s="14">
        <f>Source!I42</f>
        <v>27</v>
      </c>
      <c r="E29" s="11"/>
    </row>
    <row r="30" spans="1:5" ht="14.25" x14ac:dyDescent="0.2">
      <c r="A30" s="11" t="str">
        <f>Source!E44</f>
        <v>11</v>
      </c>
      <c r="B30" s="12" t="str">
        <f>Source!G44</f>
        <v>Установка подоконных досок из ПВХ в панельных стенах</v>
      </c>
      <c r="C30" s="13" t="str">
        <f>Source!H44</f>
        <v>100 п. м</v>
      </c>
      <c r="D30" s="14">
        <f>Source!I44</f>
        <v>0.52400000000000002</v>
      </c>
      <c r="E30" s="11"/>
    </row>
    <row r="31" spans="1:5" ht="14.25" x14ac:dyDescent="0.2">
      <c r="A31" s="11" t="str">
        <f>Source!E46</f>
        <v>12</v>
      </c>
      <c r="B31" s="12" t="str">
        <f>Source!G46</f>
        <v>Доски подоконные ПВХ, шириной 550 мм</v>
      </c>
      <c r="C31" s="13" t="str">
        <f>Source!H46</f>
        <v>м</v>
      </c>
      <c r="D31" s="14">
        <f>Source!I46</f>
        <v>52.4</v>
      </c>
      <c r="E31" s="11"/>
    </row>
    <row r="32" spans="1:5" ht="28.5" x14ac:dyDescent="0.2">
      <c r="A32" s="11" t="str">
        <f>Source!E48</f>
        <v>13</v>
      </c>
      <c r="B32" s="12" t="str">
        <f>Source!G48</f>
        <v>Облицовка оконных и дверных откосов декоративным бумажно-слоистым пластиком или листами из синтетических материалов на клее</v>
      </c>
      <c r="C32" s="13" t="str">
        <f>Source!H48</f>
        <v>100 М2 ОБЛИЦОВКИ</v>
      </c>
      <c r="D32" s="14">
        <f>Source!I48</f>
        <v>0.8155</v>
      </c>
      <c r="E32" s="11"/>
    </row>
    <row r="33" spans="1:5" ht="42.75" x14ac:dyDescent="0.2">
      <c r="A33" s="11" t="str">
        <f>Source!E50</f>
        <v>14</v>
      </c>
      <c r="B33" s="12" t="str">
        <f>Source!G50</f>
        <v>Сэндвич-панели для откосов (наружные слои – листы из поливинилхлорида, внутреннее наполнение – вспененный пенополистирол) белые, ширина 1,5 м, длина 3,0 м, толщина 10 мм</v>
      </c>
      <c r="C33" s="13" t="str">
        <f>Source!H50</f>
        <v>м2</v>
      </c>
      <c r="D33" s="14">
        <f>Source!I50</f>
        <v>81.55</v>
      </c>
      <c r="E33" s="11"/>
    </row>
    <row r="34" spans="1:5" ht="14.25" x14ac:dyDescent="0.2">
      <c r="A34" s="11" t="str">
        <f>Source!E52</f>
        <v>15</v>
      </c>
      <c r="B34" s="12" t="str">
        <f>Source!G52</f>
        <v>Сетка противомоскитная стационарная, цвет белый</v>
      </c>
      <c r="C34" s="13" t="str">
        <f>Source!H52</f>
        <v>м2</v>
      </c>
      <c r="D34" s="14">
        <f>Source!I52</f>
        <v>40</v>
      </c>
      <c r="E34" s="11"/>
    </row>
    <row r="35" spans="1:5" ht="14.25" x14ac:dyDescent="0.2">
      <c r="A35" s="11" t="str">
        <f>Source!E54</f>
        <v>16</v>
      </c>
      <c r="B35" s="12" t="str">
        <f>Source!G54</f>
        <v>Установка уголков ПВХ на клее</v>
      </c>
      <c r="C35" s="13" t="str">
        <f>Source!H54</f>
        <v>100 п. м</v>
      </c>
      <c r="D35" s="14">
        <f>Source!I54</f>
        <v>3.262</v>
      </c>
      <c r="E35" s="11"/>
    </row>
    <row r="36" spans="1:5" ht="28.5" x14ac:dyDescent="0.2">
      <c r="A36" s="11" t="str">
        <f>Source!E56</f>
        <v>17</v>
      </c>
      <c r="B36" s="12" t="str">
        <f>Source!G56</f>
        <v>Устройство мелких покрытий (брандмауэры, парапеты, свесы и т.п.) из листовой оцинкованной стали</v>
      </c>
      <c r="C36" s="13" t="str">
        <f>Source!H56</f>
        <v>100 м2 покрытия</v>
      </c>
      <c r="D36" s="14">
        <f>Source!I56</f>
        <v>0.15720000000000001</v>
      </c>
      <c r="E36" s="11"/>
    </row>
    <row r="37" spans="1:5" ht="28.5" x14ac:dyDescent="0.2">
      <c r="A37" s="11" t="str">
        <f>Source!E58</f>
        <v>18</v>
      </c>
      <c r="B37" s="12" t="str">
        <f>Source!G58</f>
        <v>Водоотлив оконный шириной планки 250 мм из оцинкованной стали с полимерным покрытием</v>
      </c>
      <c r="C37" s="13" t="str">
        <f>Source!H58</f>
        <v>П.М</v>
      </c>
      <c r="D37" s="14">
        <f>Source!I58</f>
        <v>52.4</v>
      </c>
      <c r="E37" s="11"/>
    </row>
    <row r="38" spans="1:5" ht="28.5" x14ac:dyDescent="0.2">
      <c r="A38" s="11" t="str">
        <f>Source!E60</f>
        <v>19</v>
      </c>
      <c r="B38" s="12" t="str">
        <f>Source!G60</f>
        <v>Погрузка при автомобильных перевозках мусора строительного с погрузкой вручную</v>
      </c>
      <c r="C38" s="13" t="str">
        <f>Source!H60</f>
        <v>1 Т ГРУЗА</v>
      </c>
      <c r="D38" s="14">
        <f>Source!I60</f>
        <v>12.53</v>
      </c>
      <c r="E38" s="11"/>
    </row>
    <row r="39" spans="1:5" ht="42.75" x14ac:dyDescent="0.2">
      <c r="A39" s="15" t="str">
        <f>Source!E62</f>
        <v>20</v>
      </c>
      <c r="B39" s="16" t="str">
        <f>Source!G62</f>
        <v>Перевозка грузов I класса автомобилями-самосвалами грузоподъемностью 10 т работающих вне карьера на расстояние до 38 км</v>
      </c>
      <c r="C39" s="17" t="str">
        <f>Source!H62</f>
        <v>1 Т ГРУЗА</v>
      </c>
      <c r="D39" s="18">
        <f>Source!I62</f>
        <v>12.53</v>
      </c>
      <c r="E39" s="15"/>
    </row>
    <row r="42" spans="1:5" ht="15" x14ac:dyDescent="0.25">
      <c r="A42" s="19" t="s">
        <v>21</v>
      </c>
      <c r="B42" s="19"/>
      <c r="C42" s="19" t="s">
        <v>22</v>
      </c>
      <c r="D42" s="19"/>
      <c r="E42" s="19"/>
    </row>
  </sheetData>
  <mergeCells count="5">
    <mergeCell ref="C5:D5"/>
    <mergeCell ref="C7:D7"/>
    <mergeCell ref="A11:D11"/>
    <mergeCell ref="A12:D12"/>
    <mergeCell ref="A19:E19"/>
  </mergeCells>
  <pageMargins left="0.4" right="0.2" top="0.2" bottom="0.4" header="0.2" footer="0.2"/>
  <pageSetup paperSize="9" firstPageNumber="0" fitToHeight="0" orientation="portrait" horizontalDpi="300" verticalDpi="300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5"/>
  <sheetViews>
    <sheetView workbookViewId="0"/>
  </sheetViews>
  <sheetFormatPr defaultColWidth="8.7109375" defaultRowHeight="12.75" x14ac:dyDescent="0.2"/>
  <cols>
    <col min="1" max="1" width="6.7109375" customWidth="1"/>
    <col min="2" max="2" width="15.7109375" customWidth="1"/>
    <col min="3" max="3" width="45.7109375" customWidth="1"/>
    <col min="4" max="7" width="12.7109375" customWidth="1"/>
  </cols>
  <sheetData>
    <row r="1" spans="1:7" x14ac:dyDescent="0.2">
      <c r="A1" s="20" t="str">
        <f>Source!B1</f>
        <v>Smeta.RU  (495) 974-1589</v>
      </c>
    </row>
    <row r="2" spans="1:7" ht="14.25" x14ac:dyDescent="0.2">
      <c r="A2" s="3"/>
      <c r="B2" s="3"/>
      <c r="C2" s="3"/>
      <c r="D2" s="3"/>
      <c r="E2" s="3"/>
      <c r="F2" s="3"/>
      <c r="G2" s="3"/>
    </row>
    <row r="3" spans="1:7" ht="15.75" x14ac:dyDescent="0.25">
      <c r="A3" s="164" t="str">
        <f>IF(Source!G12&lt;&gt;"Новый объект", Source!G12, "")</f>
        <v>1077-2020 Аксаринская начальная школа детский-сад</v>
      </c>
      <c r="B3" s="164"/>
      <c r="C3" s="164"/>
      <c r="D3" s="164"/>
      <c r="E3" s="164"/>
      <c r="F3" s="164"/>
      <c r="G3" s="164"/>
    </row>
    <row r="4" spans="1:7" x14ac:dyDescent="0.2">
      <c r="A4" s="165" t="s">
        <v>23</v>
      </c>
      <c r="B4" s="165"/>
      <c r="C4" s="165"/>
      <c r="D4" s="165"/>
      <c r="E4" s="165"/>
      <c r="F4" s="165"/>
      <c r="G4" s="165"/>
    </row>
    <row r="5" spans="1:7" ht="14.25" x14ac:dyDescent="0.2">
      <c r="A5" s="3"/>
      <c r="B5" s="3"/>
      <c r="C5" s="3"/>
      <c r="D5" s="3"/>
      <c r="E5" s="3"/>
      <c r="F5" s="3"/>
      <c r="G5" s="3"/>
    </row>
    <row r="6" spans="1:7" ht="15.75" x14ac:dyDescent="0.25">
      <c r="A6" s="161" t="str">
        <f>CONCATENATE("ЛОКАЛЬНАЯ РЕСУРСНАЯ ВЕДОМОСТЬ № ",IF(Source!F20&lt;&gt;"Новая локальная смета", Source!F20, ""))</f>
        <v>ЛОКАЛЬНАЯ РЕСУРСНАЯ ВЕДОМОСТЬ № 02-01-01</v>
      </c>
      <c r="B6" s="161"/>
      <c r="C6" s="161"/>
      <c r="D6" s="161"/>
      <c r="E6" s="161"/>
      <c r="F6" s="161"/>
      <c r="G6" s="161"/>
    </row>
    <row r="7" spans="1:7" ht="14.25" x14ac:dyDescent="0.2">
      <c r="A7" s="3"/>
      <c r="B7" s="3"/>
      <c r="C7" s="3"/>
      <c r="D7" s="3"/>
      <c r="E7" s="3"/>
      <c r="F7" s="3"/>
      <c r="G7" s="3"/>
    </row>
    <row r="8" spans="1:7" ht="18" x14ac:dyDescent="0.25">
      <c r="A8" s="166" t="str">
        <f>IF(Source!G20&lt;&gt;"Новая локальная смета", Source!G20, "")</f>
        <v>Замена оконных блоков</v>
      </c>
      <c r="B8" s="166"/>
      <c r="C8" s="166"/>
      <c r="D8" s="166"/>
      <c r="E8" s="166"/>
      <c r="F8" s="166"/>
      <c r="G8" s="166"/>
    </row>
    <row r="9" spans="1:7" ht="12.75" customHeight="1" x14ac:dyDescent="0.2">
      <c r="A9" s="167" t="s">
        <v>24</v>
      </c>
      <c r="B9" s="167"/>
      <c r="C9" s="167"/>
      <c r="D9" s="167"/>
      <c r="E9" s="167"/>
      <c r="F9" s="167"/>
      <c r="G9" s="167"/>
    </row>
    <row r="10" spans="1:7" ht="14.25" x14ac:dyDescent="0.2">
      <c r="A10" s="3"/>
      <c r="B10" s="3"/>
      <c r="C10" s="3"/>
      <c r="D10" s="3"/>
      <c r="E10" s="3"/>
      <c r="F10" s="3"/>
      <c r="G10" s="3"/>
    </row>
    <row r="11" spans="1:7" ht="14.25" customHeight="1" x14ac:dyDescent="0.2">
      <c r="A11" s="168" t="s">
        <v>25</v>
      </c>
      <c r="B11" s="168"/>
      <c r="C11" s="21">
        <f>Source!J20</f>
        <v>0</v>
      </c>
      <c r="D11" s="21"/>
      <c r="E11" s="21"/>
      <c r="F11" s="21"/>
      <c r="G11" s="21"/>
    </row>
    <row r="12" spans="1:7" ht="14.25" x14ac:dyDescent="0.2">
      <c r="A12" s="22"/>
      <c r="B12" s="22"/>
      <c r="C12" s="22"/>
      <c r="D12" s="22"/>
      <c r="E12" s="22"/>
      <c r="F12" s="22"/>
      <c r="G12" s="22"/>
    </row>
    <row r="13" spans="1:7" ht="14.25" x14ac:dyDescent="0.2">
      <c r="A13" s="3"/>
      <c r="B13" s="3"/>
      <c r="C13" s="3"/>
      <c r="D13" s="3"/>
      <c r="E13" s="3"/>
      <c r="F13" s="23"/>
      <c r="G13" s="23"/>
    </row>
    <row r="14" spans="1:7" ht="14.25" x14ac:dyDescent="0.2">
      <c r="A14" s="3" t="s">
        <v>26</v>
      </c>
      <c r="B14" s="3"/>
      <c r="C14" s="3"/>
      <c r="D14" s="3"/>
      <c r="E14" s="3"/>
      <c r="F14" s="23"/>
      <c r="G14" s="23"/>
    </row>
    <row r="15" spans="1:7" ht="57" x14ac:dyDescent="0.2">
      <c r="A15" s="7" t="s">
        <v>16</v>
      </c>
      <c r="B15" s="7" t="s">
        <v>27</v>
      </c>
      <c r="C15" s="7" t="s">
        <v>28</v>
      </c>
      <c r="D15" s="7" t="s">
        <v>18</v>
      </c>
      <c r="E15" s="7" t="s">
        <v>29</v>
      </c>
      <c r="F15" s="8" t="s">
        <v>30</v>
      </c>
      <c r="G15" s="8" t="s">
        <v>31</v>
      </c>
    </row>
    <row r="16" spans="1:7" ht="14.25" x14ac:dyDescent="0.2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</row>
    <row r="17" spans="1:7" ht="30" x14ac:dyDescent="0.25">
      <c r="A17" s="15" t="str">
        <f>Source!E24</f>
        <v>1</v>
      </c>
      <c r="B17" s="24" t="s">
        <v>32</v>
      </c>
      <c r="C17" s="25" t="str">
        <f>Source!G24</f>
        <v>Демонтаж оконных коробок в каменных стенах с отбивкой штукатурки в откосах</v>
      </c>
      <c r="D17" s="26" t="str">
        <f>Source!H24</f>
        <v>100 КОРОБОК</v>
      </c>
      <c r="E17" s="27"/>
      <c r="F17" s="17"/>
      <c r="G17" s="28">
        <f>Source!I24</f>
        <v>0.27</v>
      </c>
    </row>
    <row r="18" spans="1:7" x14ac:dyDescent="0.2">
      <c r="A18" s="29"/>
      <c r="B18" s="29"/>
      <c r="C18" s="30" t="str">
        <f>"Объем: "&amp;Source!I24&amp;"=(1+"&amp;"5+"&amp;"9+"&amp;"1+"&amp;"10+"&amp;"1)/"&amp;"100"</f>
        <v>Объем: 0,27=(1+5+9+1+10+1)/100</v>
      </c>
      <c r="D18" s="29"/>
      <c r="E18" s="29"/>
      <c r="F18" s="29"/>
      <c r="G18" s="29"/>
    </row>
    <row r="19" spans="1:7" ht="14.25" x14ac:dyDescent="0.2">
      <c r="A19" s="15">
        <v>1.1000000000000001</v>
      </c>
      <c r="B19" s="25" t="str">
        <f>SmtRes!I1</f>
        <v>1-1025-21</v>
      </c>
      <c r="C19" s="25" t="str">
        <f>SmtRes!K1</f>
        <v>Рабочий строитель среднего разряда 2,5</v>
      </c>
      <c r="D19" s="16" t="str">
        <f>SmtRes!O1</f>
        <v>чел.-ч</v>
      </c>
      <c r="E19" s="27">
        <f>SmtRes!AT1</f>
        <v>128.72999999999999</v>
      </c>
      <c r="F19" s="17">
        <f>SmtRes!AU1</f>
        <v>0</v>
      </c>
      <c r="G19" s="27">
        <f>SmtRes!Y1*Source!I24</f>
        <v>34.757100000000001</v>
      </c>
    </row>
    <row r="20" spans="1:7" ht="14.25" x14ac:dyDescent="0.2">
      <c r="A20" s="15">
        <v>1.2</v>
      </c>
      <c r="B20" s="25" t="str">
        <f>SmtRes!I2</f>
        <v>2</v>
      </c>
      <c r="C20" s="25" t="str">
        <f>SmtRes!K2</f>
        <v>Затраты труда машинистов</v>
      </c>
      <c r="D20" s="16" t="str">
        <f>SmtRes!O2</f>
        <v>чел.час</v>
      </c>
      <c r="E20" s="27">
        <f>SmtRes!AT2</f>
        <v>2.15</v>
      </c>
      <c r="F20" s="17">
        <f>SmtRes!AU2</f>
        <v>0</v>
      </c>
      <c r="G20" s="27">
        <f>SmtRes!Y2*Source!I24</f>
        <v>0.58050000000000002</v>
      </c>
    </row>
    <row r="21" spans="1:7" ht="28.5" x14ac:dyDescent="0.2">
      <c r="A21" s="15">
        <v>1.3</v>
      </c>
      <c r="B21" s="25" t="str">
        <f>SmtRes!I3</f>
        <v>030954</v>
      </c>
      <c r="C21" s="25" t="str">
        <f>SmtRes!K3</f>
        <v>Подъемники грузоподъемностью до 500 кг одномачтовые, высота подъема 45 м</v>
      </c>
      <c r="D21" s="16" t="str">
        <f>SmtRes!O3</f>
        <v>маш.-ч</v>
      </c>
      <c r="E21" s="27">
        <f>SmtRes!AT3</f>
        <v>0.7</v>
      </c>
      <c r="F21" s="17">
        <f>SmtRes!AU3</f>
        <v>0</v>
      </c>
      <c r="G21" s="27">
        <f>SmtRes!Y3*Source!I24</f>
        <v>0.189</v>
      </c>
    </row>
    <row r="22" spans="1:7" ht="42.75" x14ac:dyDescent="0.2">
      <c r="A22" s="15">
        <v>1.4</v>
      </c>
      <c r="B22" s="25" t="str">
        <f>SmtRes!I4</f>
        <v>050101</v>
      </c>
      <c r="C22" s="25" t="str">
        <f>SmtRes!K4</f>
        <v>Компрессоры передвижные с двигателем внутреннего сгорания давлением до 686 кПа (7 ат), производительность  до 5 м3/мин</v>
      </c>
      <c r="D22" s="16" t="str">
        <f>SmtRes!O4</f>
        <v>маш.-ч</v>
      </c>
      <c r="E22" s="27">
        <f>SmtRes!AT4</f>
        <v>1.45</v>
      </c>
      <c r="F22" s="17">
        <f>SmtRes!AU4</f>
        <v>0</v>
      </c>
      <c r="G22" s="27">
        <f>SmtRes!Y4*Source!I24</f>
        <v>0.39150000000000001</v>
      </c>
    </row>
    <row r="23" spans="1:7" ht="42.75" x14ac:dyDescent="0.2">
      <c r="A23" s="15">
        <v>1.5</v>
      </c>
      <c r="B23" s="25" t="str">
        <f>SmtRes!I5</f>
        <v>330804</v>
      </c>
      <c r="C23" s="25" t="str">
        <f>SmtRes!K5</f>
        <v>Молотки при работе от передвижных компрессорных станций отбойные пневматические</v>
      </c>
      <c r="D23" s="16" t="str">
        <f>SmtRes!O5</f>
        <v>маш.-ч</v>
      </c>
      <c r="E23" s="27">
        <f>SmtRes!AT5</f>
        <v>2.89</v>
      </c>
      <c r="F23" s="17">
        <f>SmtRes!AU5</f>
        <v>0</v>
      </c>
      <c r="G23" s="27">
        <f>SmtRes!Y5*Source!I24</f>
        <v>0.7803000000000001</v>
      </c>
    </row>
    <row r="24" spans="1:7" ht="14.25" x14ac:dyDescent="0.2">
      <c r="A24" s="15">
        <v>1.6</v>
      </c>
      <c r="B24" s="25" t="str">
        <f>SmtRes!I6</f>
        <v>509-9900</v>
      </c>
      <c r="C24" s="25" t="str">
        <f>SmtRes!K6</f>
        <v>Строительный мусор</v>
      </c>
      <c r="D24" s="16" t="str">
        <f>SmtRes!O6</f>
        <v>т</v>
      </c>
      <c r="E24" s="27">
        <f>SmtRes!AT6</f>
        <v>10.66</v>
      </c>
      <c r="F24" s="17">
        <f>SmtRes!AU6</f>
        <v>0</v>
      </c>
      <c r="G24" s="27">
        <f>SmtRes!Y6*Source!I24</f>
        <v>2.8782000000000001</v>
      </c>
    </row>
    <row r="25" spans="1:7" ht="60" x14ac:dyDescent="0.25">
      <c r="A25" s="15" t="str">
        <f>Source!E26</f>
        <v>2</v>
      </c>
      <c r="B25" s="24" t="s">
        <v>33</v>
      </c>
      <c r="C25" s="25" t="str">
        <f>Source!G26</f>
        <v>Снятие оконных переплетов остекленных</v>
      </c>
      <c r="D25" s="26" t="str">
        <f>Source!H26</f>
        <v>100 М2 ОКОННЫХ ПЕРЕПЛЕТОВ</v>
      </c>
      <c r="E25" s="27"/>
      <c r="F25" s="17"/>
      <c r="G25" s="28">
        <f>Source!I26</f>
        <v>1.88</v>
      </c>
    </row>
    <row r="26" spans="1:7" ht="38.25" x14ac:dyDescent="0.2">
      <c r="A26" s="29"/>
      <c r="B26" s="29"/>
      <c r="C26" s="30" t="str">
        <f>"Объем: "&amp;Source!I26&amp;"=((2,8*"&amp;"2+"&amp;"1,8*"&amp;"2*"&amp;"5+"&amp;"1*"&amp;"2*"&amp;"9+"&amp;"1,1*"&amp;"2+"&amp;"2,3*"&amp;"2*"&amp;"10+"&amp;"2,1*"&amp;"2)*"&amp;"2/"&amp;"100)"</f>
        <v>Объем: 1,88=((2,8*2+1,8*2*5+1*2*9+1,1*2+2,3*2*10+2,1*2)*2/100)</v>
      </c>
      <c r="D26" s="29"/>
      <c r="E26" s="29"/>
      <c r="F26" s="29"/>
      <c r="G26" s="29"/>
    </row>
    <row r="27" spans="1:7" ht="14.25" x14ac:dyDescent="0.2">
      <c r="A27" s="15">
        <v>2.1</v>
      </c>
      <c r="B27" s="25" t="str">
        <f>SmtRes!I13</f>
        <v>1-1023-21</v>
      </c>
      <c r="C27" s="25" t="str">
        <f>SmtRes!K13</f>
        <v>Рабочий строитель среднего разряда 2,3</v>
      </c>
      <c r="D27" s="16" t="str">
        <f>SmtRes!O13</f>
        <v>чел.-ч</v>
      </c>
      <c r="E27" s="27">
        <f>SmtRes!AT13</f>
        <v>46.11</v>
      </c>
      <c r="F27" s="17">
        <f>SmtRes!AU13</f>
        <v>0</v>
      </c>
      <c r="G27" s="27">
        <f>SmtRes!Y13*Source!I26</f>
        <v>86.686799999999991</v>
      </c>
    </row>
    <row r="28" spans="1:7" ht="14.25" x14ac:dyDescent="0.2">
      <c r="A28" s="15">
        <v>2.2000000000000002</v>
      </c>
      <c r="B28" s="25" t="str">
        <f>SmtRes!I14</f>
        <v>2</v>
      </c>
      <c r="C28" s="25" t="str">
        <f>SmtRes!K14</f>
        <v>Затраты труда машинистов</v>
      </c>
      <c r="D28" s="16" t="str">
        <f>SmtRes!O14</f>
        <v>чел.час</v>
      </c>
      <c r="E28" s="27">
        <f>SmtRes!AT14</f>
        <v>0.93</v>
      </c>
      <c r="F28" s="17">
        <f>SmtRes!AU14</f>
        <v>0</v>
      </c>
      <c r="G28" s="27">
        <f>SmtRes!Y14*Source!I26</f>
        <v>1.7484</v>
      </c>
    </row>
    <row r="29" spans="1:7" ht="28.5" x14ac:dyDescent="0.2">
      <c r="A29" s="15">
        <v>2.2999999999999998</v>
      </c>
      <c r="B29" s="25" t="str">
        <f>SmtRes!I15</f>
        <v>030954</v>
      </c>
      <c r="C29" s="25" t="str">
        <f>SmtRes!K15</f>
        <v>Подъемники грузоподъемностью до 500 кг одномачтовые, высота подъема 45 м</v>
      </c>
      <c r="D29" s="16" t="str">
        <f>SmtRes!O15</f>
        <v>маш.-ч</v>
      </c>
      <c r="E29" s="27">
        <f>SmtRes!AT15</f>
        <v>0.93</v>
      </c>
      <c r="F29" s="17">
        <f>SmtRes!AU15</f>
        <v>0</v>
      </c>
      <c r="G29" s="27">
        <f>SmtRes!Y15*Source!I26</f>
        <v>1.7484</v>
      </c>
    </row>
    <row r="30" spans="1:7" ht="14.25" x14ac:dyDescent="0.2">
      <c r="A30" s="15">
        <v>2.4</v>
      </c>
      <c r="B30" s="25" t="str">
        <f>SmtRes!I16</f>
        <v>509-9900</v>
      </c>
      <c r="C30" s="25" t="str">
        <f>SmtRes!K16</f>
        <v>Строительный мусор</v>
      </c>
      <c r="D30" s="16" t="str">
        <f>SmtRes!O16</f>
        <v>т</v>
      </c>
      <c r="E30" s="27">
        <f>SmtRes!AT16</f>
        <v>3.42</v>
      </c>
      <c r="F30" s="17">
        <f>SmtRes!AU16</f>
        <v>0</v>
      </c>
      <c r="G30" s="27">
        <f>SmtRes!Y16*Source!I26</f>
        <v>6.4295999999999998</v>
      </c>
    </row>
    <row r="31" spans="1:7" ht="28.5" x14ac:dyDescent="0.25">
      <c r="A31" s="15" t="str">
        <f>Source!E28</f>
        <v>3</v>
      </c>
      <c r="B31" s="24" t="s">
        <v>34</v>
      </c>
      <c r="C31" s="25" t="str">
        <f>Source!G28</f>
        <v>Снятие подоконных досок бетонных и мозаичных</v>
      </c>
      <c r="D31" s="26" t="str">
        <f>Source!H28</f>
        <v>100 м2</v>
      </c>
      <c r="E31" s="27"/>
      <c r="F31" s="17"/>
      <c r="G31" s="28">
        <f>Source!I28</f>
        <v>0.23599999999999999</v>
      </c>
    </row>
    <row r="32" spans="1:7" x14ac:dyDescent="0.2">
      <c r="A32" s="29"/>
      <c r="B32" s="29"/>
      <c r="C32" s="30" t="str">
        <f>"Объем: "&amp;Source!I28&amp;"=23,6/"&amp;"100"</f>
        <v>Объем: 0,236=23,6/100</v>
      </c>
      <c r="D32" s="29"/>
      <c r="E32" s="29"/>
      <c r="F32" s="29"/>
      <c r="G32" s="29"/>
    </row>
    <row r="33" spans="1:7" ht="14.25" x14ac:dyDescent="0.2">
      <c r="A33" s="15">
        <v>3.1</v>
      </c>
      <c r="B33" s="25" t="str">
        <f>SmtRes!I21</f>
        <v>1-1018-21</v>
      </c>
      <c r="C33" s="25" t="str">
        <f>SmtRes!K21</f>
        <v>Рабочий строитель среднего разряда 1,8</v>
      </c>
      <c r="D33" s="16" t="str">
        <f>SmtRes!O21</f>
        <v>чел.-ч</v>
      </c>
      <c r="E33" s="27">
        <f>SmtRes!AT21</f>
        <v>275.60000000000002</v>
      </c>
      <c r="F33" s="17">
        <f>SmtRes!AU21</f>
        <v>0</v>
      </c>
      <c r="G33" s="27">
        <f>SmtRes!Y21*Source!I28</f>
        <v>65.041600000000003</v>
      </c>
    </row>
    <row r="34" spans="1:7" ht="14.25" x14ac:dyDescent="0.2">
      <c r="A34" s="15">
        <v>3.2</v>
      </c>
      <c r="B34" s="25" t="str">
        <f>SmtRes!I22</f>
        <v>2</v>
      </c>
      <c r="C34" s="25" t="str">
        <f>SmtRes!K22</f>
        <v>Затраты труда машинистов</v>
      </c>
      <c r="D34" s="16" t="str">
        <f>SmtRes!O22</f>
        <v>чел.час</v>
      </c>
      <c r="E34" s="27">
        <f>SmtRes!AT22</f>
        <v>1.58</v>
      </c>
      <c r="F34" s="17">
        <f>SmtRes!AU22</f>
        <v>0</v>
      </c>
      <c r="G34" s="27">
        <f>SmtRes!Y22*Source!I28</f>
        <v>0.37287999999999999</v>
      </c>
    </row>
    <row r="35" spans="1:7" ht="42.75" x14ac:dyDescent="0.2">
      <c r="A35" s="15">
        <v>3.3</v>
      </c>
      <c r="B35" s="25" t="str">
        <f>SmtRes!I23</f>
        <v>050101</v>
      </c>
      <c r="C35" s="25" t="str">
        <f>SmtRes!K23</f>
        <v>Компрессоры передвижные с двигателем внутреннего сгорания давлением до 686 кПа (7 ат), производительность  до 5 м3/мин</v>
      </c>
      <c r="D35" s="16" t="str">
        <f>SmtRes!O23</f>
        <v>маш.-ч</v>
      </c>
      <c r="E35" s="27">
        <f>SmtRes!AT23</f>
        <v>1.58</v>
      </c>
      <c r="F35" s="17">
        <f>SmtRes!AU23</f>
        <v>0</v>
      </c>
      <c r="G35" s="27">
        <f>SmtRes!Y23*Source!I28</f>
        <v>0.37287999999999999</v>
      </c>
    </row>
    <row r="36" spans="1:7" ht="42.75" x14ac:dyDescent="0.2">
      <c r="A36" s="15">
        <v>3.4</v>
      </c>
      <c r="B36" s="25" t="str">
        <f>SmtRes!I24</f>
        <v>330804</v>
      </c>
      <c r="C36" s="25" t="str">
        <f>SmtRes!K24</f>
        <v>Молотки при работе от передвижных компрессорных станций отбойные пневматические</v>
      </c>
      <c r="D36" s="16" t="str">
        <f>SmtRes!O24</f>
        <v>маш.-ч</v>
      </c>
      <c r="E36" s="27">
        <f>SmtRes!AT24</f>
        <v>3.16</v>
      </c>
      <c r="F36" s="17">
        <f>SmtRes!AU24</f>
        <v>0</v>
      </c>
      <c r="G36" s="27">
        <f>SmtRes!Y24*Source!I28</f>
        <v>0.74575999999999998</v>
      </c>
    </row>
    <row r="37" spans="1:7" ht="14.25" x14ac:dyDescent="0.2">
      <c r="A37" s="15">
        <v>3.5</v>
      </c>
      <c r="B37" s="25" t="str">
        <f>SmtRes!I25</f>
        <v>509-9900</v>
      </c>
      <c r="C37" s="25" t="str">
        <f>SmtRes!K25</f>
        <v>Строительный мусор</v>
      </c>
      <c r="D37" s="16" t="str">
        <f>SmtRes!O25</f>
        <v>т</v>
      </c>
      <c r="E37" s="27">
        <f>SmtRes!AT25</f>
        <v>13.4</v>
      </c>
      <c r="F37" s="17">
        <f>SmtRes!AU25</f>
        <v>0</v>
      </c>
      <c r="G37" s="27">
        <f>SmtRes!Y25*Source!I28</f>
        <v>3.1623999999999999</v>
      </c>
    </row>
    <row r="38" spans="1:7" ht="60" x14ac:dyDescent="0.25">
      <c r="A38" s="15" t="str">
        <f>Source!E30</f>
        <v>4</v>
      </c>
      <c r="B38" s="24" t="s">
        <v>35</v>
      </c>
      <c r="C38" s="25" t="str">
        <f>Source!G30</f>
        <v>Разборка мелких покрытий и обделок из листовой стали поясков, сандриков, желобов, отливов, свесов и т.п.</v>
      </c>
      <c r="D38" s="26" t="str">
        <f>Source!H30</f>
        <v>100 М ТРУБ И ПОКРЫТИЙ</v>
      </c>
      <c r="E38" s="27"/>
      <c r="F38" s="17"/>
      <c r="G38" s="28">
        <f>Source!I30</f>
        <v>0.52400000000000002</v>
      </c>
    </row>
    <row r="39" spans="1:7" x14ac:dyDescent="0.2">
      <c r="A39" s="29"/>
      <c r="B39" s="29"/>
      <c r="C39" s="30" t="str">
        <f>"Объем: "&amp;Source!I30&amp;"=52,4/"&amp;"100"</f>
        <v>Объем: 0,524=52,4/100</v>
      </c>
      <c r="D39" s="29"/>
      <c r="E39" s="29"/>
      <c r="F39" s="29"/>
      <c r="G39" s="29"/>
    </row>
    <row r="40" spans="1:7" ht="14.25" x14ac:dyDescent="0.2">
      <c r="A40" s="15">
        <v>4.0999999999999996</v>
      </c>
      <c r="B40" s="25" t="str">
        <f>SmtRes!I31</f>
        <v>1-1020-21</v>
      </c>
      <c r="C40" s="25" t="str">
        <f>SmtRes!K31</f>
        <v>Рабочий строитель среднего разряда 2</v>
      </c>
      <c r="D40" s="16" t="str">
        <f>SmtRes!O31</f>
        <v>чел.-ч</v>
      </c>
      <c r="E40" s="27">
        <f>SmtRes!AT31</f>
        <v>9.1</v>
      </c>
      <c r="F40" s="17">
        <f>SmtRes!AU31</f>
        <v>0</v>
      </c>
      <c r="G40" s="27">
        <f>SmtRes!Y31*Source!I30</f>
        <v>4.7683999999999997</v>
      </c>
    </row>
    <row r="41" spans="1:7" ht="28.5" x14ac:dyDescent="0.2">
      <c r="A41" s="15">
        <v>4.2</v>
      </c>
      <c r="B41" s="25" t="str">
        <f>SmtRes!I32</f>
        <v>030401</v>
      </c>
      <c r="C41" s="25" t="str">
        <f>SmtRes!K32</f>
        <v>Лебедки электрические тяговым усилием до 5,79 кН (0,59 т)</v>
      </c>
      <c r="D41" s="16" t="str">
        <f>SmtRes!O32</f>
        <v>маш.-ч</v>
      </c>
      <c r="E41" s="27">
        <f>SmtRes!AT32</f>
        <v>0.12</v>
      </c>
      <c r="F41" s="17">
        <f>SmtRes!AU32</f>
        <v>0</v>
      </c>
      <c r="G41" s="27">
        <f>SmtRes!Y32*Source!I30</f>
        <v>6.2880000000000005E-2</v>
      </c>
    </row>
    <row r="42" spans="1:7" ht="14.25" x14ac:dyDescent="0.2">
      <c r="A42" s="15">
        <v>4.3</v>
      </c>
      <c r="B42" s="25" t="str">
        <f>SmtRes!I33</f>
        <v>509-9900</v>
      </c>
      <c r="C42" s="25" t="str">
        <f>SmtRes!K33</f>
        <v>Строительный мусор</v>
      </c>
      <c r="D42" s="16" t="str">
        <f>SmtRes!O33</f>
        <v>т</v>
      </c>
      <c r="E42" s="27">
        <f>SmtRes!AT33</f>
        <v>0.12</v>
      </c>
      <c r="F42" s="17">
        <f>SmtRes!AU33</f>
        <v>0</v>
      </c>
      <c r="G42" s="27">
        <f>SmtRes!Y33*Source!I30</f>
        <v>6.2880000000000005E-2</v>
      </c>
    </row>
    <row r="43" spans="1:7" ht="171" x14ac:dyDescent="0.25">
      <c r="A43" s="15" t="str">
        <f>Source!E32</f>
        <v>5</v>
      </c>
      <c r="B43" s="24" t="s">
        <v>36</v>
      </c>
      <c r="C43" s="25" t="s">
        <v>37</v>
      </c>
      <c r="D43" s="26" t="str">
        <f>Source!H32</f>
        <v>100 М2 ПРОЕМОВ</v>
      </c>
      <c r="E43" s="27"/>
      <c r="F43" s="17"/>
      <c r="G43" s="28">
        <f>Source!I32</f>
        <v>1.0437000000000001</v>
      </c>
    </row>
    <row r="44" spans="1:7" ht="38.25" x14ac:dyDescent="0.2">
      <c r="A44" s="29"/>
      <c r="B44" s="29"/>
      <c r="C44" s="30" t="str">
        <f>"Объем: "&amp;Source!I32&amp;"=((2,1*"&amp;"2,9+"&amp;"2,1*"&amp;"1,9*"&amp;"5+"&amp;"2,1*"&amp;"1,1*"&amp;"9+"&amp;"2,1*"&amp;"1,2+"&amp;"2,1*"&amp;"2,4*"&amp;"10+"&amp;"2,1*"&amp;"2,2)/"&amp;"100)"</f>
        <v>Объем: 1,0437=((2,1*2,9+2,1*1,9*5+2,1*1,1*9+2,1*1,2+2,1*2,4*10+2,1*2,2)/100)</v>
      </c>
      <c r="D44" s="29"/>
      <c r="E44" s="29"/>
      <c r="F44" s="29"/>
      <c r="G44" s="29"/>
    </row>
    <row r="45" spans="1:7" ht="14.25" x14ac:dyDescent="0.2">
      <c r="A45" s="15">
        <v>5.0999999999999996</v>
      </c>
      <c r="B45" s="25" t="str">
        <f>SmtRes!I37</f>
        <v>1-1032-21</v>
      </c>
      <c r="C45" s="25" t="str">
        <f>SmtRes!K37</f>
        <v>Рабочий строитель среднего разряда 3,2</v>
      </c>
      <c r="D45" s="16" t="str">
        <f>SmtRes!O37</f>
        <v>чел.-ч</v>
      </c>
      <c r="E45" s="27">
        <f>SmtRes!AT37</f>
        <v>149.16</v>
      </c>
      <c r="F45" s="17" t="str">
        <f>SmtRes!AU37</f>
        <v>)*1,15</v>
      </c>
      <c r="G45" s="27">
        <f>SmtRes!Y37*Source!I32</f>
        <v>179.03003580000001</v>
      </c>
    </row>
    <row r="46" spans="1:7" ht="14.25" x14ac:dyDescent="0.2">
      <c r="A46" s="15">
        <v>5.2</v>
      </c>
      <c r="B46" s="25" t="str">
        <f>SmtRes!I38</f>
        <v>2</v>
      </c>
      <c r="C46" s="25" t="str">
        <f>SmtRes!K38</f>
        <v>Затраты труда машинистов</v>
      </c>
      <c r="D46" s="16" t="str">
        <f>SmtRes!O38</f>
        <v>чел.час</v>
      </c>
      <c r="E46" s="27">
        <f>SmtRes!AT38</f>
        <v>0.66</v>
      </c>
      <c r="F46" s="17" t="str">
        <f>SmtRes!AU38</f>
        <v>)*1,25</v>
      </c>
      <c r="G46" s="27">
        <f>SmtRes!Y38*Source!I32</f>
        <v>0.8610525</v>
      </c>
    </row>
    <row r="47" spans="1:7" ht="28.5" x14ac:dyDescent="0.2">
      <c r="A47" s="15">
        <v>5.3</v>
      </c>
      <c r="B47" s="25" t="str">
        <f>SmtRes!I39</f>
        <v>030954</v>
      </c>
      <c r="C47" s="25" t="str">
        <f>SmtRes!K39</f>
        <v>Подъемники грузоподъемностью до 500 кг одномачтовые, высота подъема 45 м</v>
      </c>
      <c r="D47" s="16" t="str">
        <f>SmtRes!O39</f>
        <v>маш.-ч</v>
      </c>
      <c r="E47" s="27">
        <f>SmtRes!AT39</f>
        <v>0.66</v>
      </c>
      <c r="F47" s="17" t="str">
        <f>SmtRes!AU39</f>
        <v>)*1,25</v>
      </c>
      <c r="G47" s="27">
        <f>SmtRes!Y39*Source!I32</f>
        <v>0.8610525</v>
      </c>
    </row>
    <row r="48" spans="1:7" ht="14.25" x14ac:dyDescent="0.2">
      <c r="A48" s="15">
        <v>5.4</v>
      </c>
      <c r="B48" s="25" t="str">
        <f>SmtRes!I40</f>
        <v>134041</v>
      </c>
      <c r="C48" s="25" t="str">
        <f>SmtRes!K40</f>
        <v>Шуруповерт</v>
      </c>
      <c r="D48" s="16" t="str">
        <f>SmtRes!O40</f>
        <v>маш.-ч</v>
      </c>
      <c r="E48" s="27">
        <f>SmtRes!AT40</f>
        <v>13.21</v>
      </c>
      <c r="F48" s="17" t="str">
        <f>SmtRes!AU40</f>
        <v>)*1,25</v>
      </c>
      <c r="G48" s="27">
        <f>SmtRes!Y40*Source!I32</f>
        <v>17.23409625</v>
      </c>
    </row>
    <row r="49" spans="1:7" ht="14.25" x14ac:dyDescent="0.2">
      <c r="A49" s="15">
        <v>5.5</v>
      </c>
      <c r="B49" s="25" t="str">
        <f>SmtRes!I41</f>
        <v>331451</v>
      </c>
      <c r="C49" s="25" t="str">
        <f>SmtRes!K41</f>
        <v>Перфораторы электрические</v>
      </c>
      <c r="D49" s="16" t="str">
        <f>SmtRes!O41</f>
        <v>маш.-ч</v>
      </c>
      <c r="E49" s="27">
        <f>SmtRes!AT41</f>
        <v>20.350000000000001</v>
      </c>
      <c r="F49" s="17" t="str">
        <f>SmtRes!AU41</f>
        <v>)*1,25</v>
      </c>
      <c r="G49" s="27">
        <f>SmtRes!Y41*Source!I32</f>
        <v>26.549118750000002</v>
      </c>
    </row>
    <row r="50" spans="1:7" ht="28.5" x14ac:dyDescent="0.2">
      <c r="A50" s="15">
        <v>5.6</v>
      </c>
      <c r="B50" s="25" t="str">
        <f>SmtRes!I42</f>
        <v>400001</v>
      </c>
      <c r="C50" s="25" t="str">
        <f>SmtRes!K42</f>
        <v>Автомобили бортовые, грузоподъемность до 5 т</v>
      </c>
      <c r="D50" s="16" t="str">
        <f>SmtRes!O42</f>
        <v>маш.-ч</v>
      </c>
      <c r="E50" s="27">
        <f>SmtRes!AT42</f>
        <v>3.57</v>
      </c>
      <c r="F50" s="17" t="str">
        <f>SmtRes!AU42</f>
        <v>)*1,25</v>
      </c>
      <c r="G50" s="27">
        <f>SmtRes!Y42*Source!I32</f>
        <v>4.6575112500000007</v>
      </c>
    </row>
    <row r="51" spans="1:7" ht="14.25" x14ac:dyDescent="0.2">
      <c r="A51" s="15">
        <v>5.7</v>
      </c>
      <c r="B51" s="25" t="str">
        <f>SmtRes!I43</f>
        <v>101-2052</v>
      </c>
      <c r="C51" s="25" t="str">
        <f>SmtRes!K43</f>
        <v>Лента бутиловая</v>
      </c>
      <c r="D51" s="16" t="str">
        <f>SmtRes!O43</f>
        <v>м</v>
      </c>
      <c r="E51" s="27">
        <f>SmtRes!AT43</f>
        <v>253</v>
      </c>
      <c r="F51" s="17">
        <f>SmtRes!AU43</f>
        <v>0</v>
      </c>
      <c r="G51" s="27">
        <f>SmtRes!Y43*Source!I32</f>
        <v>264.05610000000001</v>
      </c>
    </row>
    <row r="52" spans="1:7" ht="14.25" x14ac:dyDescent="0.2">
      <c r="A52" s="15">
        <v>5.8</v>
      </c>
      <c r="B52" s="25" t="str">
        <f>SmtRes!I44</f>
        <v>101-2054</v>
      </c>
      <c r="C52" s="25" t="str">
        <f>SmtRes!K44</f>
        <v>Лента бутиловая диффузионная</v>
      </c>
      <c r="D52" s="16" t="str">
        <f>SmtRes!O44</f>
        <v>м</v>
      </c>
      <c r="E52" s="27">
        <f>SmtRes!AT44</f>
        <v>59</v>
      </c>
      <c r="F52" s="17">
        <f>SmtRes!AU44</f>
        <v>0</v>
      </c>
      <c r="G52" s="27">
        <f>SmtRes!Y44*Source!I32</f>
        <v>61.578300000000006</v>
      </c>
    </row>
    <row r="53" spans="1:7" ht="42.75" x14ac:dyDescent="0.2">
      <c r="A53" s="15">
        <v>5.9</v>
      </c>
      <c r="B53" s="25" t="str">
        <f>SmtRes!I45</f>
        <v>101-2388</v>
      </c>
      <c r="C53" s="25" t="str">
        <f>SmtRes!K45</f>
        <v>Герметик пенополиуретановый (пена монтажная) типа Makrofleks, Soudal в баллонах по 750 мл</v>
      </c>
      <c r="D53" s="16" t="str">
        <f>SmtRes!O45</f>
        <v>шт.</v>
      </c>
      <c r="E53" s="27">
        <f>SmtRes!AT45</f>
        <v>71</v>
      </c>
      <c r="F53" s="17">
        <f>SmtRes!AU45</f>
        <v>0</v>
      </c>
      <c r="G53" s="27">
        <f>SmtRes!Y45*Source!I32</f>
        <v>74.102699999999999</v>
      </c>
    </row>
    <row r="54" spans="1:7" ht="14.25" x14ac:dyDescent="0.2">
      <c r="A54" s="15">
        <v>5.0999999999999996</v>
      </c>
      <c r="B54" s="25" t="str">
        <f>SmtRes!I46</f>
        <v>101-2789</v>
      </c>
      <c r="C54" s="25" t="str">
        <f>SmtRes!K46</f>
        <v>Лента ПСУЛ</v>
      </c>
      <c r="D54" s="16" t="str">
        <f>SmtRes!O46</f>
        <v>м</v>
      </c>
      <c r="E54" s="27">
        <f>SmtRes!AT46</f>
        <v>159</v>
      </c>
      <c r="F54" s="17">
        <f>SmtRes!AU46</f>
        <v>0</v>
      </c>
      <c r="G54" s="27">
        <f>SmtRes!Y46*Source!I32</f>
        <v>165.94830000000002</v>
      </c>
    </row>
    <row r="55" spans="1:7" ht="28.5" x14ac:dyDescent="0.2">
      <c r="A55" s="15">
        <v>5.1100000000000003</v>
      </c>
      <c r="B55" s="25" t="str">
        <f>SmtRes!I47</f>
        <v>101-4173</v>
      </c>
      <c r="C55" s="25" t="str">
        <f>SmtRes!K47</f>
        <v>Дюбели монтажные 10х130 (10х132, 10х150) мм</v>
      </c>
      <c r="D55" s="16" t="str">
        <f>SmtRes!O47</f>
        <v>10 шт.</v>
      </c>
      <c r="E55" s="27">
        <f>SmtRes!AT47</f>
        <v>41.2</v>
      </c>
      <c r="F55" s="17">
        <f>SmtRes!AU47</f>
        <v>0</v>
      </c>
      <c r="G55" s="27">
        <f>SmtRes!Y47*Source!I32</f>
        <v>43.000440000000005</v>
      </c>
    </row>
    <row r="56" spans="1:7" ht="14.25" x14ac:dyDescent="0.2">
      <c r="A56" s="15">
        <v>5.12</v>
      </c>
      <c r="B56" s="25" t="str">
        <f>SmtRes!I48</f>
        <v>102-0303</v>
      </c>
      <c r="C56" s="25" t="str">
        <f>SmtRes!K48</f>
        <v>Клинья пластиковые монтажные</v>
      </c>
      <c r="D56" s="16" t="str">
        <f>SmtRes!O48</f>
        <v>шт.</v>
      </c>
      <c r="E56" s="27">
        <f>SmtRes!AT48</f>
        <v>800</v>
      </c>
      <c r="F56" s="17">
        <f>SmtRes!AU48</f>
        <v>0</v>
      </c>
      <c r="G56" s="27">
        <f>SmtRes!Y48*Source!I32</f>
        <v>834.96</v>
      </c>
    </row>
    <row r="57" spans="1:7" ht="71.25" x14ac:dyDescent="0.25">
      <c r="A57" s="15" t="str">
        <f>Source!E34</f>
        <v>6</v>
      </c>
      <c r="B57" s="24" t="s">
        <v>38</v>
      </c>
      <c r="C57" s="25" t="str">
        <f>Source!G34</f>
        <v>Блок оконный пластиковый трехстворчатый, с поворотной и поворотно-откидной створкой, двухкамерным стеклопакетом (32 мм), площадью более 3,5 м2</v>
      </c>
      <c r="D57" s="26" t="str">
        <f>Source!H34</f>
        <v>м2</v>
      </c>
      <c r="E57" s="27"/>
      <c r="F57" s="17"/>
      <c r="G57" s="28">
        <f>Source!I34</f>
        <v>81.06</v>
      </c>
    </row>
    <row r="58" spans="1:7" ht="25.5" x14ac:dyDescent="0.2">
      <c r="A58" s="29"/>
      <c r="B58" s="29"/>
      <c r="C58" s="30" t="str">
        <f>"Объем: "&amp;Source!I34&amp;"=(2,1*"&amp;"2,9+"&amp;"2,1*"&amp;"1,9*"&amp;"5+"&amp;"2,1*"&amp;"2,4*"&amp;"10+"&amp;"2,1*"&amp;"2,2)"</f>
        <v>Объем: 81,06=(2,1*2,9+2,1*1,9*5+2,1*2,4*10+2,1*2,2)</v>
      </c>
      <c r="D58" s="29"/>
      <c r="E58" s="29"/>
      <c r="F58" s="29"/>
      <c r="G58" s="29"/>
    </row>
    <row r="59" spans="1:7" ht="57" x14ac:dyDescent="0.25">
      <c r="A59" s="15" t="str">
        <f>Source!E36</f>
        <v>7</v>
      </c>
      <c r="B59" s="24" t="s">
        <v>39</v>
      </c>
      <c r="C59" s="25" t="str">
        <f>Source!G36</f>
        <v>Блок оконный пластиковый трехстворчатый, с поворотной и поворотно-откидной створкой, двухкамерным стеклопакетом (32 мм), площадью до 3 м2</v>
      </c>
      <c r="D59" s="26" t="str">
        <f>Source!H36</f>
        <v>м2</v>
      </c>
      <c r="E59" s="27"/>
      <c r="F59" s="17"/>
      <c r="G59" s="28">
        <f>Source!I36</f>
        <v>2.52</v>
      </c>
    </row>
    <row r="60" spans="1:7" x14ac:dyDescent="0.2">
      <c r="A60" s="29"/>
      <c r="B60" s="29"/>
      <c r="C60" s="30" t="str">
        <f>"Объем: "&amp;Source!I36&amp;"=2,1*"&amp;"1,2"</f>
        <v>Объем: 2,52=2,1*1,2</v>
      </c>
      <c r="D60" s="29"/>
      <c r="E60" s="29"/>
      <c r="F60" s="29"/>
      <c r="G60" s="29"/>
    </row>
    <row r="61" spans="1:7" ht="57" x14ac:dyDescent="0.25">
      <c r="A61" s="15" t="str">
        <f>Source!E38</f>
        <v>8</v>
      </c>
      <c r="B61" s="24" t="s">
        <v>40</v>
      </c>
      <c r="C61" s="25" t="str">
        <f>Source!G38</f>
        <v>Блок оконный пластиковый трехстворчатый, с поворотной и поворотно-откидной створкой, двухкамерным стеклопакетом (32 мм), площадью до 2,5 м2</v>
      </c>
      <c r="D61" s="26" t="str">
        <f>Source!H38</f>
        <v>м2</v>
      </c>
      <c r="E61" s="27"/>
      <c r="F61" s="17"/>
      <c r="G61" s="28">
        <f>Source!I38</f>
        <v>20.79</v>
      </c>
    </row>
    <row r="62" spans="1:7" x14ac:dyDescent="0.2">
      <c r="A62" s="29"/>
      <c r="B62" s="29"/>
      <c r="C62" s="30" t="str">
        <f>"Объем: "&amp;Source!I38&amp;"=2,1*"&amp;"1,1*"&amp;"9"</f>
        <v>Объем: 20,79=2,1*1,1*9</v>
      </c>
      <c r="D62" s="29"/>
      <c r="E62" s="29"/>
      <c r="F62" s="29"/>
      <c r="G62" s="29"/>
    </row>
    <row r="63" spans="1:7" ht="99.75" x14ac:dyDescent="0.25">
      <c r="A63" s="15" t="str">
        <f>Source!E40</f>
        <v>9</v>
      </c>
      <c r="B63" s="24" t="s">
        <v>41</v>
      </c>
      <c r="C63" s="25" t="s">
        <v>42</v>
      </c>
      <c r="D63" s="26" t="str">
        <f>Source!H40</f>
        <v>100 компл.</v>
      </c>
      <c r="E63" s="27"/>
      <c r="F63" s="17"/>
      <c r="G63" s="28">
        <f>Source!I40</f>
        <v>0.27</v>
      </c>
    </row>
    <row r="64" spans="1:7" x14ac:dyDescent="0.2">
      <c r="A64" s="29"/>
      <c r="B64" s="29"/>
      <c r="C64" s="30" t="str">
        <f>"Объем: "&amp;Source!I40&amp;"=27/"&amp;"100"</f>
        <v>Объем: 0,27=27/100</v>
      </c>
      <c r="D64" s="29"/>
      <c r="E64" s="29"/>
      <c r="F64" s="29"/>
      <c r="G64" s="29"/>
    </row>
    <row r="65" spans="1:7" ht="14.25" x14ac:dyDescent="0.2">
      <c r="A65" s="15">
        <v>9.1</v>
      </c>
      <c r="B65" s="25" t="str">
        <f>SmtRes!I61</f>
        <v>1-1032-21</v>
      </c>
      <c r="C65" s="25" t="str">
        <f>SmtRes!K61</f>
        <v>Рабочий строитель среднего разряда 3,2</v>
      </c>
      <c r="D65" s="16" t="str">
        <f>SmtRes!O61</f>
        <v>чел.-ч</v>
      </c>
      <c r="E65" s="27">
        <f>SmtRes!AT61</f>
        <v>44.5</v>
      </c>
      <c r="F65" s="17" t="str">
        <f>SmtRes!AU61</f>
        <v>)*1,15</v>
      </c>
      <c r="G65" s="27">
        <f>SmtRes!Y61*Source!I40</f>
        <v>13.81725</v>
      </c>
    </row>
    <row r="66" spans="1:7" ht="14.25" x14ac:dyDescent="0.2">
      <c r="A66" s="15">
        <v>9.1999999999999993</v>
      </c>
      <c r="B66" s="25" t="str">
        <f>SmtRes!I62</f>
        <v>134041</v>
      </c>
      <c r="C66" s="25" t="str">
        <f>SmtRes!K62</f>
        <v>Шуруповерт</v>
      </c>
      <c r="D66" s="16" t="str">
        <f>SmtRes!O62</f>
        <v>маш.-ч</v>
      </c>
      <c r="E66" s="27">
        <f>SmtRes!AT62</f>
        <v>3.2</v>
      </c>
      <c r="F66" s="17" t="str">
        <f>SmtRes!AU62</f>
        <v>)*1,25</v>
      </c>
      <c r="G66" s="27">
        <f>SmtRes!Y62*Source!I40</f>
        <v>1.08</v>
      </c>
    </row>
    <row r="67" spans="1:7" ht="28.5" x14ac:dyDescent="0.2">
      <c r="A67" s="15">
        <v>9.3000000000000007</v>
      </c>
      <c r="B67" s="25" t="str">
        <f>SmtRes!I63</f>
        <v>400001</v>
      </c>
      <c r="C67" s="25" t="str">
        <f>SmtRes!K63</f>
        <v>Автомобили бортовые, грузоподъемность до 5 т</v>
      </c>
      <c r="D67" s="16" t="str">
        <f>SmtRes!O63</f>
        <v>маш.-ч</v>
      </c>
      <c r="E67" s="27">
        <f>SmtRes!AT63</f>
        <v>0.13</v>
      </c>
      <c r="F67" s="17" t="str">
        <f>SmtRes!AU63</f>
        <v>)*1,25</v>
      </c>
      <c r="G67" s="27">
        <f>SmtRes!Y63*Source!I40</f>
        <v>4.3875000000000004E-2</v>
      </c>
    </row>
    <row r="68" spans="1:7" ht="30" x14ac:dyDescent="0.25">
      <c r="A68" s="15" t="str">
        <f>Source!E42</f>
        <v>10</v>
      </c>
      <c r="B68" s="24" t="s">
        <v>43</v>
      </c>
      <c r="C68" s="25" t="str">
        <f>Source!G42</f>
        <v>Упор оконный стальной</v>
      </c>
      <c r="D68" s="26" t="str">
        <f>Source!H42</f>
        <v>компл.</v>
      </c>
      <c r="E68" s="27"/>
      <c r="F68" s="17"/>
      <c r="G68" s="28">
        <f>Source!I42</f>
        <v>27</v>
      </c>
    </row>
    <row r="69" spans="1:7" ht="114" x14ac:dyDescent="0.25">
      <c r="A69" s="15" t="str">
        <f>Source!E44</f>
        <v>11</v>
      </c>
      <c r="B69" s="24" t="s">
        <v>44</v>
      </c>
      <c r="C69" s="25" t="s">
        <v>45</v>
      </c>
      <c r="D69" s="26" t="str">
        <f>Source!H44</f>
        <v>100 п. м</v>
      </c>
      <c r="E69" s="27"/>
      <c r="F69" s="17"/>
      <c r="G69" s="28">
        <f>Source!I44</f>
        <v>0.52400000000000002</v>
      </c>
    </row>
    <row r="70" spans="1:7" x14ac:dyDescent="0.2">
      <c r="A70" s="29"/>
      <c r="B70" s="29"/>
      <c r="C70" s="30" t="str">
        <f>"Объем: "&amp;Source!I44&amp;"=52,4/"&amp;"100"</f>
        <v>Объем: 0,524=52,4/100</v>
      </c>
      <c r="D70" s="29"/>
      <c r="E70" s="29"/>
      <c r="F70" s="29"/>
      <c r="G70" s="29"/>
    </row>
    <row r="71" spans="1:7" ht="14.25" x14ac:dyDescent="0.2">
      <c r="A71" s="15">
        <v>11.1</v>
      </c>
      <c r="B71" s="25" t="str">
        <f>SmtRes!I67</f>
        <v>1-1030-21</v>
      </c>
      <c r="C71" s="25" t="str">
        <f>SmtRes!K67</f>
        <v>Рабочий строитель среднего разряда 3</v>
      </c>
      <c r="D71" s="16" t="str">
        <f>SmtRes!O67</f>
        <v>чел.-ч</v>
      </c>
      <c r="E71" s="27">
        <f>SmtRes!AT67</f>
        <v>21.26</v>
      </c>
      <c r="F71" s="17" t="str">
        <f>SmtRes!AU67</f>
        <v>)*1,15</v>
      </c>
      <c r="G71" s="27">
        <f>SmtRes!Y67*Source!I44</f>
        <v>12.811276000000001</v>
      </c>
    </row>
    <row r="72" spans="1:7" ht="14.25" x14ac:dyDescent="0.2">
      <c r="A72" s="15">
        <v>11.2</v>
      </c>
      <c r="B72" s="25" t="str">
        <f>SmtRes!I68</f>
        <v>2</v>
      </c>
      <c r="C72" s="25" t="str">
        <f>SmtRes!K68</f>
        <v>Затраты труда машинистов</v>
      </c>
      <c r="D72" s="16" t="str">
        <f>SmtRes!O68</f>
        <v>чел.час</v>
      </c>
      <c r="E72" s="27">
        <f>SmtRes!AT68</f>
        <v>0.05</v>
      </c>
      <c r="F72" s="17" t="str">
        <f>SmtRes!AU68</f>
        <v>)*1,25</v>
      </c>
      <c r="G72" s="27">
        <f>SmtRes!Y68*Source!I44</f>
        <v>3.2750000000000001E-2</v>
      </c>
    </row>
    <row r="73" spans="1:7" ht="28.5" x14ac:dyDescent="0.2">
      <c r="A73" s="15">
        <v>11.3</v>
      </c>
      <c r="B73" s="25" t="str">
        <f>SmtRes!I69</f>
        <v>030954</v>
      </c>
      <c r="C73" s="25" t="str">
        <f>SmtRes!K69</f>
        <v>Подъемники грузоподъемностью до 500 кг одномачтовые, высота подъема 45 м</v>
      </c>
      <c r="D73" s="16" t="str">
        <f>SmtRes!O69</f>
        <v>маш.-ч</v>
      </c>
      <c r="E73" s="27">
        <f>SmtRes!AT69</f>
        <v>0.05</v>
      </c>
      <c r="F73" s="17" t="str">
        <f>SmtRes!AU69</f>
        <v>)*1,25</v>
      </c>
      <c r="G73" s="27">
        <f>SmtRes!Y69*Source!I44</f>
        <v>3.2750000000000001E-2</v>
      </c>
    </row>
    <row r="74" spans="1:7" ht="42.75" x14ac:dyDescent="0.2">
      <c r="A74" s="15">
        <v>11.4</v>
      </c>
      <c r="B74" s="25" t="str">
        <f>SmtRes!I71</f>
        <v>101-2388</v>
      </c>
      <c r="C74" s="25" t="str">
        <f>SmtRes!K71</f>
        <v>Герметик пенополиуретановый (пена монтажная) типа Makrofleks, Soudal в баллонах по 750 мл</v>
      </c>
      <c r="D74" s="16" t="str">
        <f>SmtRes!O71</f>
        <v>шт.</v>
      </c>
      <c r="E74" s="27">
        <f>SmtRes!AT71</f>
        <v>45.3</v>
      </c>
      <c r="F74" s="17">
        <f>SmtRes!AU71</f>
        <v>0</v>
      </c>
      <c r="G74" s="27">
        <f>SmtRes!Y71*Source!I44</f>
        <v>23.737199999999998</v>
      </c>
    </row>
    <row r="75" spans="1:7" ht="14.25" x14ac:dyDescent="0.2">
      <c r="A75" s="15">
        <v>11.5</v>
      </c>
      <c r="B75" s="25" t="str">
        <f>SmtRes!I72</f>
        <v>102-0303</v>
      </c>
      <c r="C75" s="25" t="str">
        <f>SmtRes!K72</f>
        <v>Клинья пластиковые монтажные</v>
      </c>
      <c r="D75" s="16" t="str">
        <f>SmtRes!O72</f>
        <v>шт.</v>
      </c>
      <c r="E75" s="27">
        <f>SmtRes!AT72</f>
        <v>400</v>
      </c>
      <c r="F75" s="17">
        <f>SmtRes!AU72</f>
        <v>0</v>
      </c>
      <c r="G75" s="27">
        <f>SmtRes!Y72*Source!I44</f>
        <v>209.60000000000002</v>
      </c>
    </row>
    <row r="76" spans="1:7" ht="30" x14ac:dyDescent="0.25">
      <c r="A76" s="15" t="str">
        <f>Source!E46</f>
        <v>12</v>
      </c>
      <c r="B76" s="24" t="s">
        <v>46</v>
      </c>
      <c r="C76" s="25" t="str">
        <f>Source!G46</f>
        <v>Доски подоконные ПВХ, шириной 550 мм</v>
      </c>
      <c r="D76" s="26" t="str">
        <f>Source!H46</f>
        <v>м</v>
      </c>
      <c r="E76" s="27"/>
      <c r="F76" s="17"/>
      <c r="G76" s="28">
        <f>Source!I46</f>
        <v>52.4</v>
      </c>
    </row>
    <row r="77" spans="1:7" ht="142.5" x14ac:dyDescent="0.25">
      <c r="A77" s="15" t="str">
        <f>Source!E48</f>
        <v>13</v>
      </c>
      <c r="B77" s="24" t="s">
        <v>47</v>
      </c>
      <c r="C77" s="25" t="s">
        <v>48</v>
      </c>
      <c r="D77" s="26" t="str">
        <f>Source!H48</f>
        <v>100 М2 ОБЛИЦОВКИ</v>
      </c>
      <c r="E77" s="27"/>
      <c r="F77" s="17"/>
      <c r="G77" s="28">
        <f>Source!I48</f>
        <v>0.8155</v>
      </c>
    </row>
    <row r="78" spans="1:7" x14ac:dyDescent="0.2">
      <c r="A78" s="29"/>
      <c r="B78" s="29"/>
      <c r="C78" s="30" t="str">
        <f>"Объем: "&amp;Source!I48&amp;"=81,55/"&amp;"100"</f>
        <v>Объем: 0,8155=81,55/100</v>
      </c>
      <c r="D78" s="29"/>
      <c r="E78" s="29"/>
      <c r="F78" s="29"/>
      <c r="G78" s="29"/>
    </row>
    <row r="79" spans="1:7" ht="14.25" x14ac:dyDescent="0.2">
      <c r="A79" s="15">
        <v>13.1</v>
      </c>
      <c r="B79" s="25" t="str">
        <f>SmtRes!I79</f>
        <v>1-1036-21</v>
      </c>
      <c r="C79" s="25" t="str">
        <f>SmtRes!K79</f>
        <v>Рабочий строитель среднего разряда 3,6</v>
      </c>
      <c r="D79" s="16" t="str">
        <f>SmtRes!O79</f>
        <v>чел.-ч</v>
      </c>
      <c r="E79" s="27">
        <f>SmtRes!AT79</f>
        <v>166.47</v>
      </c>
      <c r="F79" s="17" t="str">
        <f>SmtRes!AU79</f>
        <v>)*1,15</v>
      </c>
      <c r="G79" s="27">
        <f>SmtRes!Y79*Source!I48</f>
        <v>156.11972774999998</v>
      </c>
    </row>
    <row r="80" spans="1:7" ht="14.25" x14ac:dyDescent="0.2">
      <c r="A80" s="15">
        <v>13.2</v>
      </c>
      <c r="B80" s="25" t="str">
        <f>SmtRes!I80</f>
        <v>2</v>
      </c>
      <c r="C80" s="25" t="str">
        <f>SmtRes!K80</f>
        <v>Затраты труда машинистов</v>
      </c>
      <c r="D80" s="16" t="str">
        <f>SmtRes!O80</f>
        <v>чел.час</v>
      </c>
      <c r="E80" s="27">
        <f>SmtRes!AT80</f>
        <v>0.08</v>
      </c>
      <c r="F80" s="17" t="str">
        <f>SmtRes!AU80</f>
        <v>)*1,25</v>
      </c>
      <c r="G80" s="27">
        <f>SmtRes!Y80*Source!I48</f>
        <v>8.1550000000000011E-2</v>
      </c>
    </row>
    <row r="81" spans="1:7" ht="28.5" x14ac:dyDescent="0.2">
      <c r="A81" s="15">
        <v>13.3</v>
      </c>
      <c r="B81" s="25" t="str">
        <f>SmtRes!I81</f>
        <v>030954</v>
      </c>
      <c r="C81" s="25" t="str">
        <f>SmtRes!K81</f>
        <v>Подъемники грузоподъемностью до 500 кг одномачтовые, высота подъема 45 м</v>
      </c>
      <c r="D81" s="16" t="str">
        <f>SmtRes!O81</f>
        <v>маш.-ч</v>
      </c>
      <c r="E81" s="27">
        <f>SmtRes!AT81</f>
        <v>0.08</v>
      </c>
      <c r="F81" s="17" t="str">
        <f>SmtRes!AU81</f>
        <v>)*1,25</v>
      </c>
      <c r="G81" s="27">
        <f>SmtRes!Y81*Source!I48</f>
        <v>8.1550000000000011E-2</v>
      </c>
    </row>
    <row r="82" spans="1:7" ht="14.25" x14ac:dyDescent="0.2">
      <c r="A82" s="15">
        <v>13.4</v>
      </c>
      <c r="B82" s="25" t="str">
        <f>SmtRes!I82</f>
        <v>331531</v>
      </c>
      <c r="C82" s="25" t="str">
        <f>SmtRes!K82</f>
        <v>Пила дисковая электрическая</v>
      </c>
      <c r="D82" s="16" t="str">
        <f>SmtRes!O82</f>
        <v>маш.-ч</v>
      </c>
      <c r="E82" s="27">
        <f>SmtRes!AT82</f>
        <v>0.26</v>
      </c>
      <c r="F82" s="17" t="str">
        <f>SmtRes!AU82</f>
        <v>)*1,25</v>
      </c>
      <c r="G82" s="27">
        <f>SmtRes!Y82*Source!I48</f>
        <v>0.26503750000000004</v>
      </c>
    </row>
    <row r="83" spans="1:7" ht="28.5" x14ac:dyDescent="0.2">
      <c r="A83" s="15">
        <v>13.5</v>
      </c>
      <c r="B83" s="25" t="str">
        <f>SmtRes!I83</f>
        <v>400001</v>
      </c>
      <c r="C83" s="25" t="str">
        <f>SmtRes!K83</f>
        <v>Автомобили бортовые, грузоподъемность до 5 т</v>
      </c>
      <c r="D83" s="16" t="str">
        <f>SmtRes!O83</f>
        <v>маш.-ч</v>
      </c>
      <c r="E83" s="27">
        <f>SmtRes!AT83</f>
        <v>0.5</v>
      </c>
      <c r="F83" s="17" t="str">
        <f>SmtRes!AU83</f>
        <v>)*1,25</v>
      </c>
      <c r="G83" s="27">
        <f>SmtRes!Y83*Source!I48</f>
        <v>0.50968749999999996</v>
      </c>
    </row>
    <row r="84" spans="1:7" ht="14.25" x14ac:dyDescent="0.2">
      <c r="A84" s="15">
        <v>13.6</v>
      </c>
      <c r="B84" s="25" t="str">
        <f>SmtRes!I84</f>
        <v>101-1757</v>
      </c>
      <c r="C84" s="25" t="str">
        <f>SmtRes!K84</f>
        <v>Ветошь</v>
      </c>
      <c r="D84" s="16" t="str">
        <f>SmtRes!O84</f>
        <v>кг</v>
      </c>
      <c r="E84" s="27">
        <f>SmtRes!AT84</f>
        <v>0.2</v>
      </c>
      <c r="F84" s="17">
        <f>SmtRes!AU84</f>
        <v>0</v>
      </c>
      <c r="G84" s="27">
        <f>SmtRes!Y84*Source!I48</f>
        <v>0.16310000000000002</v>
      </c>
    </row>
    <row r="85" spans="1:7" ht="14.25" x14ac:dyDescent="0.2">
      <c r="A85" s="15">
        <v>13.7</v>
      </c>
      <c r="B85" s="25" t="str">
        <f>SmtRes!I85</f>
        <v>101-2434</v>
      </c>
      <c r="C85" s="25" t="str">
        <f>SmtRes!K85</f>
        <v>Клей ПВА</v>
      </c>
      <c r="D85" s="16" t="str">
        <f>SmtRes!O85</f>
        <v>кг</v>
      </c>
      <c r="E85" s="27">
        <f>SmtRes!AT85</f>
        <v>30</v>
      </c>
      <c r="F85" s="17">
        <f>SmtRes!AU85</f>
        <v>0</v>
      </c>
      <c r="G85" s="27">
        <f>SmtRes!Y85*Source!I48</f>
        <v>24.465</v>
      </c>
    </row>
    <row r="86" spans="1:7" ht="14.25" x14ac:dyDescent="0.2">
      <c r="A86" s="15">
        <v>13.8</v>
      </c>
      <c r="B86" s="25" t="str">
        <f>SmtRes!I86</f>
        <v>101-3464</v>
      </c>
      <c r="C86" s="25" t="str">
        <f>SmtRes!K86</f>
        <v>Грунтовка масляная ВАК-I-V</v>
      </c>
      <c r="D86" s="16" t="str">
        <f>SmtRes!O86</f>
        <v>т</v>
      </c>
      <c r="E86" s="27">
        <f>SmtRes!AT86</f>
        <v>8.8999999999999999E-3</v>
      </c>
      <c r="F86" s="17">
        <f>SmtRes!AU86</f>
        <v>0</v>
      </c>
      <c r="G86" s="27">
        <f>SmtRes!Y86*Source!I48</f>
        <v>7.25795E-3</v>
      </c>
    </row>
    <row r="87" spans="1:7" ht="71.25" x14ac:dyDescent="0.25">
      <c r="A87" s="15" t="str">
        <f>Source!E50</f>
        <v>14</v>
      </c>
      <c r="B87" s="24" t="s">
        <v>49</v>
      </c>
      <c r="C87" s="25" t="str">
        <f>Source!G50</f>
        <v>Сэндвич-панели для откосов (наружные слои – листы из поливинилхлорида, внутреннее наполнение – вспененный пенополистирол) белые, ширина 1,5 м, длина 3,0 м, толщина 10 мм</v>
      </c>
      <c r="D87" s="26" t="str">
        <f>Source!H50</f>
        <v>м2</v>
      </c>
      <c r="E87" s="27"/>
      <c r="F87" s="17"/>
      <c r="G87" s="28">
        <f>Source!I50</f>
        <v>81.55</v>
      </c>
    </row>
    <row r="88" spans="1:7" ht="30" x14ac:dyDescent="0.25">
      <c r="A88" s="15" t="str">
        <f>Source!E52</f>
        <v>15</v>
      </c>
      <c r="B88" s="24" t="s">
        <v>50</v>
      </c>
      <c r="C88" s="25" t="str">
        <f>Source!G52</f>
        <v>Сетка противомоскитная стационарная, цвет белый</v>
      </c>
      <c r="D88" s="26" t="str">
        <f>Source!H52</f>
        <v>м2</v>
      </c>
      <c r="E88" s="27"/>
      <c r="F88" s="17"/>
      <c r="G88" s="28">
        <f>Source!I52</f>
        <v>40</v>
      </c>
    </row>
    <row r="89" spans="1:7" ht="99.75" x14ac:dyDescent="0.25">
      <c r="A89" s="15" t="str">
        <f>Source!E54</f>
        <v>16</v>
      </c>
      <c r="B89" s="24" t="s">
        <v>51</v>
      </c>
      <c r="C89" s="25" t="s">
        <v>52</v>
      </c>
      <c r="D89" s="26" t="str">
        <f>Source!H54</f>
        <v>100 п. м</v>
      </c>
      <c r="E89" s="27"/>
      <c r="F89" s="17"/>
      <c r="G89" s="28">
        <f>Source!I54</f>
        <v>3.262</v>
      </c>
    </row>
    <row r="90" spans="1:7" x14ac:dyDescent="0.2">
      <c r="A90" s="29"/>
      <c r="B90" s="29"/>
      <c r="C90" s="30" t="str">
        <f>"Объем: "&amp;Source!I54&amp;"=326,2/"&amp;"100"</f>
        <v>Объем: 3,262=326,2/100</v>
      </c>
      <c r="D90" s="29"/>
      <c r="E90" s="29"/>
      <c r="F90" s="29"/>
      <c r="G90" s="29"/>
    </row>
    <row r="91" spans="1:7" ht="14.25" x14ac:dyDescent="0.2">
      <c r="A91" s="15">
        <v>16.100000000000001</v>
      </c>
      <c r="B91" s="25" t="str">
        <f>SmtRes!I95</f>
        <v>1-1030-21</v>
      </c>
      <c r="C91" s="25" t="str">
        <f>SmtRes!K95</f>
        <v>Рабочий строитель среднего разряда 3</v>
      </c>
      <c r="D91" s="16" t="str">
        <f>SmtRes!O95</f>
        <v>чел.-ч</v>
      </c>
      <c r="E91" s="27">
        <f>SmtRes!AT95</f>
        <v>6.7</v>
      </c>
      <c r="F91" s="17" t="str">
        <f>SmtRes!AU95</f>
        <v>)*1,15</v>
      </c>
      <c r="G91" s="27">
        <f>SmtRes!Y95*Source!I54</f>
        <v>25.133710000000001</v>
      </c>
    </row>
    <row r="92" spans="1:7" ht="14.25" x14ac:dyDescent="0.2">
      <c r="A92" s="15">
        <v>16.2</v>
      </c>
      <c r="B92" s="25" t="str">
        <f>SmtRes!I96</f>
        <v>101-5958</v>
      </c>
      <c r="C92" s="25" t="str">
        <f>SmtRes!K96</f>
        <v>Уголок ПВХ, размером 25х25 мм</v>
      </c>
      <c r="D92" s="16" t="str">
        <f>SmtRes!O96</f>
        <v>П.М</v>
      </c>
      <c r="E92" s="27">
        <f>SmtRes!AT96</f>
        <v>100</v>
      </c>
      <c r="F92" s="17">
        <f>SmtRes!AU96</f>
        <v>0</v>
      </c>
      <c r="G92" s="27">
        <f>SmtRes!Y96*Source!I54</f>
        <v>326.2</v>
      </c>
    </row>
    <row r="93" spans="1:7" ht="14.25" x14ac:dyDescent="0.2">
      <c r="A93" s="15">
        <v>16.3</v>
      </c>
      <c r="B93" s="25" t="str">
        <f>SmtRes!I97</f>
        <v>113-0304</v>
      </c>
      <c r="C93" s="25" t="str">
        <f>SmtRes!K97</f>
        <v>Клей резиновый № 88-Н</v>
      </c>
      <c r="D93" s="16" t="str">
        <f>SmtRes!O97</f>
        <v>кг</v>
      </c>
      <c r="E93" s="27">
        <f>SmtRes!AT97</f>
        <v>0.8</v>
      </c>
      <c r="F93" s="17">
        <f>SmtRes!AU97</f>
        <v>0</v>
      </c>
      <c r="G93" s="27">
        <f>SmtRes!Y97*Source!I54</f>
        <v>2.6096000000000004</v>
      </c>
    </row>
    <row r="94" spans="1:7" ht="128.25" x14ac:dyDescent="0.25">
      <c r="A94" s="15" t="str">
        <f>Source!E56</f>
        <v>17</v>
      </c>
      <c r="B94" s="24" t="s">
        <v>53</v>
      </c>
      <c r="C94" s="25" t="s">
        <v>54</v>
      </c>
      <c r="D94" s="26" t="str">
        <f>Source!H56</f>
        <v>100 м2 покрытия</v>
      </c>
      <c r="E94" s="27"/>
      <c r="F94" s="17"/>
      <c r="G94" s="28">
        <f>Source!I56</f>
        <v>0.15720000000000001</v>
      </c>
    </row>
    <row r="95" spans="1:7" x14ac:dyDescent="0.2">
      <c r="A95" s="29"/>
      <c r="B95" s="29"/>
      <c r="C95" s="30" t="str">
        <f>"Объем: "&amp;Source!I56&amp;"=15,72/"&amp;"100"</f>
        <v>Объем: 0,1572=15,72/100</v>
      </c>
      <c r="D95" s="29"/>
      <c r="E95" s="29"/>
      <c r="F95" s="29"/>
      <c r="G95" s="29"/>
    </row>
    <row r="96" spans="1:7" ht="14.25" x14ac:dyDescent="0.2">
      <c r="A96" s="15">
        <v>17.100000000000001</v>
      </c>
      <c r="B96" s="25" t="str">
        <f>SmtRes!I101</f>
        <v>1-1030-21</v>
      </c>
      <c r="C96" s="25" t="str">
        <f>SmtRes!K101</f>
        <v>Рабочий строитель среднего разряда 3</v>
      </c>
      <c r="D96" s="16" t="str">
        <f>SmtRes!O101</f>
        <v>чел.-ч</v>
      </c>
      <c r="E96" s="27">
        <f>SmtRes!AT101</f>
        <v>112.75</v>
      </c>
      <c r="F96" s="17" t="str">
        <f>SmtRes!AU101</f>
        <v>)*1,15</v>
      </c>
      <c r="G96" s="27">
        <f>SmtRes!Y101*Source!I56</f>
        <v>20.382944999999999</v>
      </c>
    </row>
    <row r="97" spans="1:7" ht="14.25" x14ac:dyDescent="0.2">
      <c r="A97" s="15">
        <v>17.2</v>
      </c>
      <c r="B97" s="25" t="str">
        <f>SmtRes!I102</f>
        <v>2</v>
      </c>
      <c r="C97" s="25" t="str">
        <f>SmtRes!K102</f>
        <v>Затраты труда машинистов</v>
      </c>
      <c r="D97" s="16" t="str">
        <f>SmtRes!O102</f>
        <v>чел.час</v>
      </c>
      <c r="E97" s="27">
        <f>SmtRes!AT102</f>
        <v>0.2</v>
      </c>
      <c r="F97" s="17" t="str">
        <f>SmtRes!AU102</f>
        <v>)*1,25</v>
      </c>
      <c r="G97" s="27">
        <f>SmtRes!Y102*Source!I56</f>
        <v>3.9300000000000002E-2</v>
      </c>
    </row>
    <row r="98" spans="1:7" ht="28.5" x14ac:dyDescent="0.2">
      <c r="A98" s="15">
        <v>17.3</v>
      </c>
      <c r="B98" s="25" t="str">
        <f>SmtRes!I103</f>
        <v>020129</v>
      </c>
      <c r="C98" s="25" t="str">
        <f>SmtRes!K103</f>
        <v>Краны башенные при работе на других видах строительства 8 т</v>
      </c>
      <c r="D98" s="16" t="str">
        <f>SmtRes!O103</f>
        <v>маш.-ч</v>
      </c>
      <c r="E98" s="27">
        <f>SmtRes!AT103</f>
        <v>0.2</v>
      </c>
      <c r="F98" s="17" t="str">
        <f>SmtRes!AU103</f>
        <v>)*1,25</v>
      </c>
      <c r="G98" s="27">
        <f>SmtRes!Y103*Source!I56</f>
        <v>3.9300000000000002E-2</v>
      </c>
    </row>
    <row r="99" spans="1:7" ht="28.5" x14ac:dyDescent="0.2">
      <c r="A99" s="15">
        <v>17.399999999999999</v>
      </c>
      <c r="B99" s="25" t="str">
        <f>SmtRes!I104</f>
        <v>400001</v>
      </c>
      <c r="C99" s="25" t="str">
        <f>SmtRes!K104</f>
        <v>Автомобили бортовые, грузоподъемность до 5 т</v>
      </c>
      <c r="D99" s="16" t="str">
        <f>SmtRes!O104</f>
        <v>маш.-ч</v>
      </c>
      <c r="E99" s="27">
        <f>SmtRes!AT104</f>
        <v>7.0000000000000007E-2</v>
      </c>
      <c r="F99" s="17" t="str">
        <f>SmtRes!AU104</f>
        <v>)*1,25</v>
      </c>
      <c r="G99" s="27">
        <f>SmtRes!Y104*Source!I56</f>
        <v>1.3755E-2</v>
      </c>
    </row>
    <row r="100" spans="1:7" ht="14.25" x14ac:dyDescent="0.2">
      <c r="A100" s="15">
        <v>17.5</v>
      </c>
      <c r="B100" s="25" t="str">
        <f>SmtRes!I105</f>
        <v>101-0195</v>
      </c>
      <c r="C100" s="25" t="str">
        <f>SmtRes!K105</f>
        <v>Гвозди толевые круглые 3,0х40 мм</v>
      </c>
      <c r="D100" s="16" t="str">
        <f>SmtRes!O105</f>
        <v>т</v>
      </c>
      <c r="E100" s="27">
        <f>SmtRes!AT105</f>
        <v>4.0000000000000001E-3</v>
      </c>
      <c r="F100" s="17">
        <f>SmtRes!AU105</f>
        <v>0</v>
      </c>
      <c r="G100" s="27">
        <f>SmtRes!Y105*Source!I56</f>
        <v>6.288E-4</v>
      </c>
    </row>
    <row r="101" spans="1:7" ht="28.5" x14ac:dyDescent="0.2">
      <c r="A101" s="15">
        <v>17.600000000000001</v>
      </c>
      <c r="B101" s="25" t="str">
        <f>SmtRes!I106</f>
        <v>101-0795</v>
      </c>
      <c r="C101" s="25" t="str">
        <f>SmtRes!K106</f>
        <v>Проволока канатная оцинкованная, диаметром 3 мм</v>
      </c>
      <c r="D101" s="16" t="str">
        <f>SmtRes!O106</f>
        <v>т</v>
      </c>
      <c r="E101" s="27">
        <f>SmtRes!AT106</f>
        <v>1.2E-2</v>
      </c>
      <c r="F101" s="17">
        <f>SmtRes!AU106</f>
        <v>0</v>
      </c>
      <c r="G101" s="27">
        <f>SmtRes!Y106*Source!I56</f>
        <v>1.8864000000000001E-3</v>
      </c>
    </row>
    <row r="102" spans="1:7" ht="42.75" x14ac:dyDescent="0.25">
      <c r="A102" s="15" t="str">
        <f>Source!E58</f>
        <v>18</v>
      </c>
      <c r="B102" s="24" t="s">
        <v>55</v>
      </c>
      <c r="C102" s="25" t="str">
        <f>Source!G58</f>
        <v>Водоотлив оконный шириной планки 250 мм из оцинкованной стали с полимерным покрытием</v>
      </c>
      <c r="D102" s="26" t="str">
        <f>Source!H58</f>
        <v>П.М</v>
      </c>
      <c r="E102" s="27"/>
      <c r="F102" s="17"/>
      <c r="G102" s="28">
        <f>Source!I58</f>
        <v>52.4</v>
      </c>
    </row>
    <row r="103" spans="1:7" ht="30" x14ac:dyDescent="0.25">
      <c r="A103" s="15" t="str">
        <f>Source!E60</f>
        <v>19</v>
      </c>
      <c r="B103" s="24" t="s">
        <v>56</v>
      </c>
      <c r="C103" s="25" t="str">
        <f>Source!G60</f>
        <v>Погрузка при автомобильных перевозках мусора строительного с погрузкой вручную</v>
      </c>
      <c r="D103" s="26" t="str">
        <f>Source!H60</f>
        <v>1 Т ГРУЗА</v>
      </c>
      <c r="E103" s="27"/>
      <c r="F103" s="17"/>
      <c r="G103" s="28">
        <f>Source!I60</f>
        <v>12.53</v>
      </c>
    </row>
    <row r="104" spans="1:7" x14ac:dyDescent="0.2">
      <c r="A104" s="29"/>
      <c r="B104" s="29"/>
      <c r="C104" s="30" t="str">
        <f>"Объем: "&amp;Source!I60&amp;"=(2,8782+"&amp;"6,4296+"&amp;"0,06288+"&amp;"3,1624)"</f>
        <v>Объем: 12,53=(2,8782+6,4296+0,06288+3,1624)</v>
      </c>
      <c r="D104" s="29"/>
      <c r="E104" s="29"/>
      <c r="F104" s="29"/>
      <c r="G104" s="29"/>
    </row>
    <row r="105" spans="1:7" ht="14.25" x14ac:dyDescent="0.2">
      <c r="A105" s="15">
        <v>19.100000000000001</v>
      </c>
      <c r="B105" s="25" t="str">
        <f>SmtRes!I113</f>
        <v>1-1010-21</v>
      </c>
      <c r="C105" s="25" t="str">
        <f>SmtRes!K113</f>
        <v>Рабочий строитель среднего разряда 1</v>
      </c>
      <c r="D105" s="16" t="str">
        <f>SmtRes!O113</f>
        <v>чел.-ч</v>
      </c>
      <c r="E105" s="27">
        <f>SmtRes!AT113</f>
        <v>0.57769999999999999</v>
      </c>
      <c r="F105" s="17">
        <f>SmtRes!AU113</f>
        <v>0</v>
      </c>
      <c r="G105" s="27">
        <f>SmtRes!Y113*Source!I60</f>
        <v>7.2385809999999999</v>
      </c>
    </row>
    <row r="106" spans="1:7" ht="28.5" x14ac:dyDescent="0.2">
      <c r="A106" s="15">
        <v>19.2</v>
      </c>
      <c r="B106" s="25" t="str">
        <f>SmtRes!I114</f>
        <v>400051</v>
      </c>
      <c r="C106" s="25" t="str">
        <f>SmtRes!K114</f>
        <v>Автомобиль-самосвал, грузоподъемность до 7 т</v>
      </c>
      <c r="D106" s="16" t="str">
        <f>SmtRes!O114</f>
        <v>маш.-ч</v>
      </c>
      <c r="E106" s="27">
        <f>SmtRes!AT114</f>
        <v>0.28999999999999998</v>
      </c>
      <c r="F106" s="17">
        <f>SmtRes!AU114</f>
        <v>0</v>
      </c>
      <c r="G106" s="27">
        <f>SmtRes!Y114*Source!I60</f>
        <v>3.6336999999999997</v>
      </c>
    </row>
    <row r="107" spans="1:7" ht="57" x14ac:dyDescent="0.25">
      <c r="A107" s="15" t="str">
        <f>Source!E62</f>
        <v>20</v>
      </c>
      <c r="B107" s="24" t="s">
        <v>57</v>
      </c>
      <c r="C107" s="25" t="str">
        <f>Source!G62</f>
        <v>Перевозка грузов I класса автомобилями-самосвалами грузоподъемностью 10 т работающих вне карьера на расстояние до 38 км</v>
      </c>
      <c r="D107" s="26" t="str">
        <f>Source!H62</f>
        <v>1 Т ГРУЗА</v>
      </c>
      <c r="E107" s="27"/>
      <c r="F107" s="17"/>
      <c r="G107" s="28">
        <f>Source!I62</f>
        <v>12.53</v>
      </c>
    </row>
    <row r="108" spans="1:7" ht="28.5" x14ac:dyDescent="0.2">
      <c r="A108" s="15">
        <v>20.100000000000001</v>
      </c>
      <c r="B108" s="25" t="str">
        <f>SmtRes!I117</f>
        <v>400052</v>
      </c>
      <c r="C108" s="25" t="str">
        <f>SmtRes!K117</f>
        <v>Автомобиль-самосвал, грузоподъемность до 10 т</v>
      </c>
      <c r="D108" s="16" t="str">
        <f>SmtRes!O117</f>
        <v>маш.-ч</v>
      </c>
      <c r="E108" s="27">
        <f>SmtRes!AT117</f>
        <v>0.19950000000000001</v>
      </c>
      <c r="F108" s="17">
        <f>SmtRes!AU117</f>
        <v>0</v>
      </c>
      <c r="G108" s="27">
        <f>SmtRes!Y117*Source!I62</f>
        <v>2.4997349999999998</v>
      </c>
    </row>
    <row r="111" spans="1:7" ht="14.25" x14ac:dyDescent="0.2">
      <c r="A111" s="169" t="s">
        <v>58</v>
      </c>
      <c r="B111" s="169"/>
      <c r="C111" s="31" t="str">
        <f>IF(Source!AC12&lt;&gt;"", Source!AC12," ")</f>
        <v>инженер</v>
      </c>
      <c r="D111" s="31"/>
      <c r="E111" s="31"/>
      <c r="F111" s="31" t="str">
        <f>IF(Source!AB12&lt;&gt;"", Source!AB12," ")</f>
        <v>Сергеева С.Н.</v>
      </c>
      <c r="G111" s="3"/>
    </row>
    <row r="112" spans="1:7" ht="14.25" x14ac:dyDescent="0.2">
      <c r="A112" s="3"/>
      <c r="B112" s="3"/>
      <c r="C112" s="170" t="s">
        <v>59</v>
      </c>
      <c r="D112" s="170"/>
      <c r="E112" s="170"/>
      <c r="F112" s="170"/>
      <c r="G112" s="3"/>
    </row>
    <row r="113" spans="1:7" ht="14.25" x14ac:dyDescent="0.2">
      <c r="A113" s="3"/>
      <c r="B113" s="3"/>
      <c r="C113" s="3"/>
      <c r="D113" s="3"/>
      <c r="E113" s="3"/>
      <c r="F113" s="3"/>
      <c r="G113" s="3"/>
    </row>
    <row r="114" spans="1:7" ht="14.25" x14ac:dyDescent="0.2">
      <c r="A114" s="169" t="s">
        <v>60</v>
      </c>
      <c r="B114" s="169"/>
      <c r="C114" s="31" t="str">
        <f>IF(Source!AE12&lt;&gt;"", Source!AE12," ")</f>
        <v>ГИП</v>
      </c>
      <c r="D114" s="31"/>
      <c r="E114" s="31"/>
      <c r="F114" s="31" t="str">
        <f>IF(Source!AD12&lt;&gt;"", Source!AD12," ")</f>
        <v>Сергеева Е.М.</v>
      </c>
      <c r="G114" s="3"/>
    </row>
    <row r="115" spans="1:7" ht="14.25" x14ac:dyDescent="0.2">
      <c r="A115" s="3"/>
      <c r="B115" s="3"/>
      <c r="C115" s="170" t="s">
        <v>59</v>
      </c>
      <c r="D115" s="170"/>
      <c r="E115" s="170"/>
      <c r="F115" s="170"/>
      <c r="G115" s="3"/>
    </row>
  </sheetData>
  <mergeCells count="10">
    <mergeCell ref="A11:B11"/>
    <mergeCell ref="A111:B111"/>
    <mergeCell ref="C112:F112"/>
    <mergeCell ref="A114:B114"/>
    <mergeCell ref="C115:F115"/>
    <mergeCell ref="A3:G3"/>
    <mergeCell ref="A4:G4"/>
    <mergeCell ref="A6:G6"/>
    <mergeCell ref="A8:G8"/>
    <mergeCell ref="A9:G9"/>
  </mergeCells>
  <pageMargins left="0.4" right="0.2" top="0.2" bottom="0.4" header="0.2" footer="0.2"/>
  <pageSetup paperSize="9" firstPageNumber="0" fitToHeight="0" orientation="portrait" horizontalDpi="300" verticalDpi="300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080"/>
  <sheetViews>
    <sheetView workbookViewId="0">
      <selection activeCell="A3" sqref="A3:XFD3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29" width="0" hidden="1" customWidth="1"/>
    <col min="30" max="30" width="136.7109375" hidden="1" customWidth="1"/>
    <col min="31" max="32" width="0" hidden="1" customWidth="1"/>
    <col min="33" max="33" width="76.7109375" hidden="1" customWidth="1"/>
    <col min="34" max="37" width="0" hidden="1" customWidth="1"/>
  </cols>
  <sheetData>
    <row r="1" spans="1:13" x14ac:dyDescent="0.2">
      <c r="A1" s="2" t="s">
        <v>61</v>
      </c>
      <c r="K1" s="2" t="s">
        <v>62</v>
      </c>
    </row>
    <row r="2" spans="1:13" ht="14.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2.25" customHeight="1" x14ac:dyDescent="0.25">
      <c r="A3" s="177" t="s">
        <v>63</v>
      </c>
      <c r="B3" s="177"/>
      <c r="C3" s="178" t="s">
        <v>322</v>
      </c>
      <c r="D3" s="178"/>
      <c r="E3" s="178"/>
      <c r="F3" s="178"/>
      <c r="G3" s="178"/>
      <c r="H3" s="178"/>
      <c r="I3" s="178"/>
      <c r="J3" s="178"/>
      <c r="K3" s="178"/>
      <c r="L3" s="3"/>
      <c r="M3" s="3"/>
    </row>
    <row r="4" spans="1:13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"/>
      <c r="M4" s="3"/>
    </row>
    <row r="5" spans="1:13" ht="18" x14ac:dyDescent="0.25">
      <c r="A5" s="179" t="s">
        <v>65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3"/>
      <c r="M5" s="3"/>
    </row>
    <row r="6" spans="1:13" ht="18" x14ac:dyDescent="0.25">
      <c r="A6" s="180" t="s">
        <v>66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3"/>
      <c r="M6" s="3"/>
    </row>
    <row r="7" spans="1:13" ht="14.25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"/>
      <c r="M7" s="3"/>
    </row>
    <row r="8" spans="1:13" ht="14.25" x14ac:dyDescent="0.2">
      <c r="A8" s="183" t="s">
        <v>1124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3"/>
      <c r="M8" s="3"/>
    </row>
    <row r="9" spans="1:13" ht="14.25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"/>
      <c r="M9" s="3"/>
    </row>
    <row r="10" spans="1:13" ht="14.25" x14ac:dyDescent="0.2">
      <c r="A10" s="184" t="s">
        <v>67</v>
      </c>
      <c r="B10" s="184"/>
      <c r="C10" s="184"/>
      <c r="D10" s="184"/>
      <c r="E10" s="184"/>
      <c r="F10" s="171" t="s">
        <v>68</v>
      </c>
      <c r="G10" s="171"/>
      <c r="H10" s="171"/>
      <c r="I10" s="172">
        <v>588.89099999999996</v>
      </c>
      <c r="J10" s="173"/>
      <c r="K10" s="150" t="s">
        <v>69</v>
      </c>
      <c r="L10" s="3"/>
      <c r="M10" s="3"/>
    </row>
    <row r="11" spans="1:13" ht="14.25" x14ac:dyDescent="0.2">
      <c r="A11" s="184"/>
      <c r="B11" s="184"/>
      <c r="C11" s="184"/>
      <c r="D11" s="184"/>
      <c r="E11" s="184"/>
      <c r="F11" s="171" t="s">
        <v>70</v>
      </c>
      <c r="G11" s="171"/>
      <c r="H11" s="171"/>
      <c r="I11" s="172">
        <v>5101.9433529999997</v>
      </c>
      <c r="J11" s="173"/>
      <c r="K11" s="150" t="s">
        <v>71</v>
      </c>
      <c r="L11" s="3"/>
      <c r="M11" s="3"/>
    </row>
    <row r="12" spans="1:13" ht="14.25" x14ac:dyDescent="0.2">
      <c r="A12" s="185"/>
      <c r="B12" s="185"/>
      <c r="C12" s="185"/>
      <c r="D12" s="185"/>
      <c r="E12" s="185"/>
      <c r="F12" s="174" t="s">
        <v>72</v>
      </c>
      <c r="G12" s="174"/>
      <c r="H12" s="174"/>
      <c r="I12" s="175">
        <v>45.954999999999998</v>
      </c>
      <c r="J12" s="176"/>
      <c r="K12" s="150" t="s">
        <v>69</v>
      </c>
      <c r="L12" s="3"/>
      <c r="M12" s="3"/>
    </row>
    <row r="13" spans="1:13" ht="14.25" x14ac:dyDescent="0.2">
      <c r="A13" s="181" t="s">
        <v>16</v>
      </c>
      <c r="B13" s="181" t="s">
        <v>73</v>
      </c>
      <c r="C13" s="181" t="s">
        <v>74</v>
      </c>
      <c r="D13" s="181" t="s">
        <v>75</v>
      </c>
      <c r="E13" s="181" t="s">
        <v>76</v>
      </c>
      <c r="F13" s="181"/>
      <c r="G13" s="182" t="s">
        <v>77</v>
      </c>
      <c r="H13" s="182"/>
      <c r="I13" s="182"/>
      <c r="J13" s="181" t="s">
        <v>78</v>
      </c>
      <c r="K13" s="181"/>
      <c r="L13" s="3"/>
      <c r="M13" s="3"/>
    </row>
    <row r="14" spans="1:13" ht="20.100000000000001" customHeight="1" x14ac:dyDescent="0.2">
      <c r="A14" s="181"/>
      <c r="B14" s="181"/>
      <c r="C14" s="181"/>
      <c r="D14" s="181"/>
      <c r="E14" s="181" t="s">
        <v>79</v>
      </c>
      <c r="F14" s="181" t="s">
        <v>80</v>
      </c>
      <c r="G14" s="181" t="s">
        <v>79</v>
      </c>
      <c r="H14" s="181" t="s">
        <v>81</v>
      </c>
      <c r="I14" s="181" t="s">
        <v>80</v>
      </c>
      <c r="J14" s="181"/>
      <c r="K14" s="181"/>
      <c r="L14" s="3"/>
      <c r="M14" s="3"/>
    </row>
    <row r="15" spans="1:13" ht="14.25" x14ac:dyDescent="0.2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3"/>
      <c r="M15" s="3"/>
    </row>
    <row r="16" spans="1:13" ht="20.100000000000001" customHeight="1" x14ac:dyDescent="0.2">
      <c r="A16" s="181"/>
      <c r="B16" s="181"/>
      <c r="C16" s="181"/>
      <c r="D16" s="181"/>
      <c r="E16" s="181" t="s">
        <v>82</v>
      </c>
      <c r="F16" s="181" t="s">
        <v>83</v>
      </c>
      <c r="G16" s="181"/>
      <c r="H16" s="181"/>
      <c r="I16" s="181" t="s">
        <v>83</v>
      </c>
      <c r="J16" s="181" t="s">
        <v>84</v>
      </c>
      <c r="K16" s="181"/>
      <c r="L16" s="3"/>
      <c r="M16" s="3"/>
    </row>
    <row r="17" spans="1:28" ht="14.25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48" t="s">
        <v>85</v>
      </c>
      <c r="K17" s="148" t="s">
        <v>86</v>
      </c>
      <c r="L17" s="3"/>
      <c r="M17" s="3"/>
    </row>
    <row r="18" spans="1:28" ht="14.25" x14ac:dyDescent="0.2">
      <c r="A18" s="148">
        <v>1</v>
      </c>
      <c r="B18" s="148">
        <v>2</v>
      </c>
      <c r="C18" s="148">
        <v>3</v>
      </c>
      <c r="D18" s="148">
        <v>4</v>
      </c>
      <c r="E18" s="148">
        <v>5</v>
      </c>
      <c r="F18" s="148">
        <v>6</v>
      </c>
      <c r="G18" s="148">
        <v>7</v>
      </c>
      <c r="H18" s="148">
        <v>8</v>
      </c>
      <c r="I18" s="148">
        <v>9</v>
      </c>
      <c r="J18" s="148">
        <v>10</v>
      </c>
      <c r="K18" s="148">
        <v>11</v>
      </c>
      <c r="L18" s="3"/>
      <c r="M18" s="3"/>
    </row>
    <row r="20" spans="1:28" ht="16.5" x14ac:dyDescent="0.25">
      <c r="A20" s="186" t="s">
        <v>1125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</row>
    <row r="22" spans="1:28" ht="16.5" x14ac:dyDescent="0.25">
      <c r="A22" s="186" t="s">
        <v>1126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</row>
    <row r="23" spans="1:28" ht="99.75" x14ac:dyDescent="0.2">
      <c r="A23" s="149" t="s">
        <v>87</v>
      </c>
      <c r="B23" s="149" t="s">
        <v>1591</v>
      </c>
      <c r="C23" s="145" t="s">
        <v>1592</v>
      </c>
      <c r="D23" s="3">
        <v>2.3940000000000001</v>
      </c>
      <c r="E23" s="141">
        <v>122.56</v>
      </c>
      <c r="F23" s="141">
        <v>59.65</v>
      </c>
      <c r="G23" s="140">
        <v>294</v>
      </c>
      <c r="H23" s="140">
        <v>151</v>
      </c>
      <c r="I23" s="142">
        <v>143</v>
      </c>
      <c r="J23" s="141">
        <v>7.1</v>
      </c>
      <c r="K23" s="141">
        <v>16.997399999999999</v>
      </c>
      <c r="T23">
        <v>533</v>
      </c>
      <c r="U23">
        <v>0</v>
      </c>
      <c r="V23">
        <v>151</v>
      </c>
      <c r="W23">
        <v>143</v>
      </c>
      <c r="X23">
        <v>0</v>
      </c>
      <c r="Y23">
        <v>16.997399999999999</v>
      </c>
      <c r="Z23">
        <v>0</v>
      </c>
      <c r="AA23">
        <v>149</v>
      </c>
      <c r="AB23">
        <v>90</v>
      </c>
    </row>
    <row r="24" spans="1:28" ht="14.25" x14ac:dyDescent="0.2">
      <c r="C24" s="35" t="s">
        <v>88</v>
      </c>
      <c r="D24" s="3"/>
      <c r="E24" s="139">
        <v>62.91</v>
      </c>
      <c r="F24" s="139">
        <v>0</v>
      </c>
      <c r="G24" s="140"/>
      <c r="H24" s="140"/>
      <c r="I24" s="140">
        <v>0</v>
      </c>
      <c r="J24" s="139">
        <v>0</v>
      </c>
      <c r="K24" s="139">
        <v>0</v>
      </c>
    </row>
    <row r="25" spans="1:28" x14ac:dyDescent="0.2">
      <c r="C25" s="36" t="s">
        <v>1127</v>
      </c>
    </row>
    <row r="26" spans="1:28" x14ac:dyDescent="0.2">
      <c r="C26" s="20" t="s">
        <v>89</v>
      </c>
      <c r="D26" s="37">
        <v>110</v>
      </c>
      <c r="E26" s="144">
        <v>62.280899999999995</v>
      </c>
      <c r="F26" s="37" t="s">
        <v>90</v>
      </c>
      <c r="G26" s="143">
        <v>149</v>
      </c>
      <c r="H26" s="37" t="s">
        <v>91</v>
      </c>
      <c r="I26" s="37"/>
      <c r="J26" s="37"/>
      <c r="K26" s="37"/>
    </row>
    <row r="27" spans="1:28" x14ac:dyDescent="0.2">
      <c r="C27" s="20" t="s">
        <v>92</v>
      </c>
      <c r="D27" s="37">
        <v>70</v>
      </c>
      <c r="E27" s="144">
        <v>37.431449999999998</v>
      </c>
      <c r="F27" s="37" t="s">
        <v>93</v>
      </c>
      <c r="G27" s="143">
        <v>90</v>
      </c>
      <c r="H27" s="37" t="s">
        <v>94</v>
      </c>
      <c r="I27" s="37"/>
      <c r="J27" s="37"/>
      <c r="K27" s="37"/>
    </row>
    <row r="28" spans="1:28" x14ac:dyDescent="0.2">
      <c r="C28" s="20" t="s">
        <v>95</v>
      </c>
      <c r="D28" s="37"/>
      <c r="E28" s="144">
        <v>222.27234999999999</v>
      </c>
      <c r="F28" s="37"/>
      <c r="G28" s="143">
        <v>533</v>
      </c>
      <c r="H28" s="37"/>
      <c r="I28" s="37"/>
      <c r="J28" s="37"/>
      <c r="K28" s="37"/>
    </row>
    <row r="29" spans="1:28" ht="85.5" x14ac:dyDescent="0.2">
      <c r="A29" s="149" t="s">
        <v>96</v>
      </c>
      <c r="B29" s="149" t="s">
        <v>1593</v>
      </c>
      <c r="C29" s="145" t="s">
        <v>1594</v>
      </c>
      <c r="D29" s="3">
        <v>0.13200000000000001</v>
      </c>
      <c r="E29" s="141">
        <v>69.41</v>
      </c>
      <c r="F29" s="141">
        <v>6.25</v>
      </c>
      <c r="G29" s="140">
        <v>9</v>
      </c>
      <c r="H29" s="140">
        <v>8</v>
      </c>
      <c r="I29" s="142">
        <v>1</v>
      </c>
      <c r="J29" s="141">
        <v>7.31</v>
      </c>
      <c r="K29" s="141">
        <v>0.96492</v>
      </c>
      <c r="T29">
        <v>19</v>
      </c>
      <c r="U29">
        <v>0</v>
      </c>
      <c r="V29">
        <v>8</v>
      </c>
      <c r="W29">
        <v>1</v>
      </c>
      <c r="X29">
        <v>0</v>
      </c>
      <c r="Y29">
        <v>0.96492</v>
      </c>
      <c r="Z29">
        <v>2.6400000000000003E-2</v>
      </c>
      <c r="AA29">
        <v>6</v>
      </c>
      <c r="AB29">
        <v>4</v>
      </c>
    </row>
    <row r="30" spans="1:28" ht="14.25" x14ac:dyDescent="0.2">
      <c r="C30" s="35" t="s">
        <v>97</v>
      </c>
      <c r="D30" s="3"/>
      <c r="E30" s="139">
        <v>63.16</v>
      </c>
      <c r="F30" s="139">
        <v>2.7</v>
      </c>
      <c r="G30" s="140"/>
      <c r="H30" s="140"/>
      <c r="I30" s="140">
        <v>0</v>
      </c>
      <c r="J30" s="139">
        <v>0.2</v>
      </c>
      <c r="K30" s="139">
        <v>2.6400000000000003E-2</v>
      </c>
    </row>
    <row r="31" spans="1:28" x14ac:dyDescent="0.2">
      <c r="C31" s="36" t="s">
        <v>1128</v>
      </c>
    </row>
    <row r="32" spans="1:28" x14ac:dyDescent="0.2">
      <c r="C32" s="20" t="s">
        <v>89</v>
      </c>
      <c r="D32" s="37">
        <v>77</v>
      </c>
      <c r="E32" s="144">
        <v>50.712200000000003</v>
      </c>
      <c r="F32" s="37"/>
      <c r="G32" s="143">
        <v>6</v>
      </c>
      <c r="H32" s="37" t="s">
        <v>219</v>
      </c>
      <c r="I32" s="37"/>
      <c r="J32" s="37"/>
      <c r="K32" s="37"/>
    </row>
    <row r="33" spans="1:28" x14ac:dyDescent="0.2">
      <c r="C33" s="20" t="s">
        <v>92</v>
      </c>
      <c r="D33" s="37">
        <v>50</v>
      </c>
      <c r="E33" s="144">
        <v>32.93</v>
      </c>
      <c r="F33" s="37"/>
      <c r="G33" s="143">
        <v>4</v>
      </c>
      <c r="H33" s="37" t="s">
        <v>185</v>
      </c>
      <c r="I33" s="37"/>
      <c r="J33" s="37"/>
      <c r="K33" s="37"/>
    </row>
    <row r="34" spans="1:28" x14ac:dyDescent="0.2">
      <c r="C34" s="20" t="s">
        <v>95</v>
      </c>
      <c r="D34" s="37"/>
      <c r="E34" s="144">
        <v>153.0522</v>
      </c>
      <c r="F34" s="37"/>
      <c r="G34" s="143">
        <v>19</v>
      </c>
      <c r="H34" s="37"/>
      <c r="I34" s="37"/>
      <c r="J34" s="37"/>
      <c r="K34" s="37"/>
    </row>
    <row r="35" spans="1:28" ht="146.25" x14ac:dyDescent="0.2">
      <c r="A35" s="149" t="s">
        <v>100</v>
      </c>
      <c r="B35" s="149" t="s">
        <v>1595</v>
      </c>
      <c r="C35" s="145" t="s">
        <v>1383</v>
      </c>
      <c r="D35" s="3">
        <v>0.76</v>
      </c>
      <c r="E35" s="141">
        <v>2270.23</v>
      </c>
      <c r="F35" s="141">
        <v>1673.42</v>
      </c>
      <c r="G35" s="140">
        <v>1726</v>
      </c>
      <c r="H35" s="140">
        <v>454</v>
      </c>
      <c r="I35" s="142">
        <v>1272</v>
      </c>
      <c r="J35" s="141">
        <v>65.8</v>
      </c>
      <c r="K35" s="141">
        <v>50.007999999999996</v>
      </c>
      <c r="T35">
        <v>2609</v>
      </c>
      <c r="U35">
        <v>0</v>
      </c>
      <c r="V35">
        <v>454</v>
      </c>
      <c r="W35">
        <v>1272</v>
      </c>
      <c r="X35">
        <v>122</v>
      </c>
      <c r="Y35">
        <v>50.007999999999996</v>
      </c>
      <c r="Z35">
        <v>8.9907999999999983</v>
      </c>
      <c r="AA35">
        <v>467</v>
      </c>
      <c r="AB35">
        <v>416</v>
      </c>
    </row>
    <row r="36" spans="1:28" ht="14.25" x14ac:dyDescent="0.2">
      <c r="C36" s="35" t="s">
        <v>97</v>
      </c>
      <c r="D36" s="3"/>
      <c r="E36" s="139">
        <v>596.80999999999995</v>
      </c>
      <c r="F36" s="139">
        <v>160.34</v>
      </c>
      <c r="G36" s="140"/>
      <c r="H36" s="140"/>
      <c r="I36" s="140">
        <v>122</v>
      </c>
      <c r="J36" s="139">
        <v>11.829999999999998</v>
      </c>
      <c r="K36" s="139">
        <v>8.9907999999999983</v>
      </c>
    </row>
    <row r="37" spans="1:28" x14ac:dyDescent="0.2">
      <c r="C37" s="36" t="s">
        <v>1129</v>
      </c>
    </row>
    <row r="38" spans="1:28" x14ac:dyDescent="0.2">
      <c r="C38" s="20" t="s">
        <v>89</v>
      </c>
      <c r="D38" s="37">
        <v>90</v>
      </c>
      <c r="E38" s="144">
        <v>613.29150000000004</v>
      </c>
      <c r="F38" s="37" t="s">
        <v>101</v>
      </c>
      <c r="G38" s="143">
        <v>467</v>
      </c>
      <c r="H38" s="37" t="s">
        <v>102</v>
      </c>
      <c r="I38" s="37"/>
      <c r="J38" s="37"/>
      <c r="K38" s="37"/>
    </row>
    <row r="39" spans="1:28" x14ac:dyDescent="0.2">
      <c r="C39" s="20" t="s">
        <v>92</v>
      </c>
      <c r="D39" s="37">
        <v>85</v>
      </c>
      <c r="E39" s="144">
        <v>547.04087500000003</v>
      </c>
      <c r="F39" s="37" t="s">
        <v>103</v>
      </c>
      <c r="G39" s="143">
        <v>416</v>
      </c>
      <c r="H39" s="37" t="s">
        <v>104</v>
      </c>
      <c r="I39" s="37"/>
      <c r="J39" s="37"/>
      <c r="K39" s="37"/>
    </row>
    <row r="40" spans="1:28" x14ac:dyDescent="0.2">
      <c r="C40" s="20" t="s">
        <v>95</v>
      </c>
      <c r="D40" s="37"/>
      <c r="E40" s="144">
        <v>3430.562375</v>
      </c>
      <c r="F40" s="37"/>
      <c r="G40" s="143">
        <v>2609</v>
      </c>
      <c r="H40" s="37"/>
      <c r="I40" s="37"/>
      <c r="J40" s="37"/>
      <c r="K40" s="37"/>
    </row>
    <row r="41" spans="1:28" ht="146.25" x14ac:dyDescent="0.2">
      <c r="A41" s="149" t="s">
        <v>105</v>
      </c>
      <c r="B41" s="149" t="s">
        <v>1596</v>
      </c>
      <c r="C41" s="145" t="s">
        <v>1382</v>
      </c>
      <c r="D41" s="3">
        <v>0.13200000000000001</v>
      </c>
      <c r="E41" s="141">
        <v>343.23</v>
      </c>
      <c r="F41" s="141">
        <v>1.33</v>
      </c>
      <c r="G41" s="140">
        <v>45</v>
      </c>
      <c r="H41" s="140">
        <v>45</v>
      </c>
      <c r="I41" s="142">
        <v>0</v>
      </c>
      <c r="J41" s="141">
        <v>40.081999999999994</v>
      </c>
      <c r="K41" s="141">
        <v>5.2908239999999997</v>
      </c>
      <c r="T41">
        <v>109</v>
      </c>
      <c r="U41">
        <v>0</v>
      </c>
      <c r="V41">
        <v>45</v>
      </c>
      <c r="W41">
        <v>0</v>
      </c>
      <c r="X41">
        <v>0</v>
      </c>
      <c r="Y41">
        <v>5.2908239999999997</v>
      </c>
      <c r="Z41">
        <v>5.5439999999999994E-3</v>
      </c>
      <c r="AA41">
        <v>43</v>
      </c>
      <c r="AB41">
        <v>21</v>
      </c>
    </row>
    <row r="42" spans="1:28" ht="14.25" x14ac:dyDescent="0.2">
      <c r="C42" s="35" t="s">
        <v>97</v>
      </c>
      <c r="D42" s="3"/>
      <c r="E42" s="139">
        <v>341.9</v>
      </c>
      <c r="F42" s="139">
        <v>0.52</v>
      </c>
      <c r="G42" s="140"/>
      <c r="H42" s="140"/>
      <c r="I42" s="140">
        <v>0</v>
      </c>
      <c r="J42" s="139">
        <v>4.1999999999999996E-2</v>
      </c>
      <c r="K42" s="139">
        <v>5.5439999999999994E-3</v>
      </c>
    </row>
    <row r="43" spans="1:28" x14ac:dyDescent="0.2">
      <c r="C43" s="36" t="s">
        <v>1597</v>
      </c>
    </row>
    <row r="44" spans="1:28" x14ac:dyDescent="0.2">
      <c r="C44" s="20" t="s">
        <v>89</v>
      </c>
      <c r="D44" s="37">
        <v>105</v>
      </c>
      <c r="E44" s="144">
        <v>323.58689999999996</v>
      </c>
      <c r="F44" s="37" t="s">
        <v>1130</v>
      </c>
      <c r="G44" s="143">
        <v>43</v>
      </c>
      <c r="H44" s="37" t="s">
        <v>1131</v>
      </c>
      <c r="I44" s="37"/>
      <c r="J44" s="37"/>
      <c r="K44" s="37"/>
    </row>
    <row r="45" spans="1:28" x14ac:dyDescent="0.2">
      <c r="C45" s="20" t="s">
        <v>92</v>
      </c>
      <c r="D45" s="37">
        <v>55</v>
      </c>
      <c r="E45" s="144">
        <v>160.08134999999999</v>
      </c>
      <c r="F45" s="37" t="s">
        <v>1132</v>
      </c>
      <c r="G45" s="143">
        <v>21</v>
      </c>
      <c r="H45" s="37" t="s">
        <v>1133</v>
      </c>
      <c r="I45" s="37"/>
      <c r="J45" s="37"/>
      <c r="K45" s="37"/>
    </row>
    <row r="46" spans="1:28" x14ac:dyDescent="0.2">
      <c r="C46" s="20" t="s">
        <v>95</v>
      </c>
      <c r="D46" s="37"/>
      <c r="E46" s="144">
        <v>826.89824999999996</v>
      </c>
      <c r="F46" s="37"/>
      <c r="G46" s="143">
        <v>109</v>
      </c>
      <c r="H46" s="37"/>
      <c r="I46" s="37"/>
      <c r="J46" s="37"/>
      <c r="K46" s="37"/>
    </row>
    <row r="47" spans="1:28" ht="85.5" x14ac:dyDescent="0.2">
      <c r="A47" s="149" t="s">
        <v>106</v>
      </c>
      <c r="B47" s="149" t="s">
        <v>1598</v>
      </c>
      <c r="C47" s="145" t="s">
        <v>1599</v>
      </c>
      <c r="D47" s="3">
        <v>0.09</v>
      </c>
      <c r="E47" s="141">
        <v>1148.79</v>
      </c>
      <c r="F47" s="141">
        <v>97.07</v>
      </c>
      <c r="G47" s="140">
        <v>104</v>
      </c>
      <c r="H47" s="140">
        <v>95</v>
      </c>
      <c r="I47" s="142">
        <v>9</v>
      </c>
      <c r="J47" s="141">
        <v>128.72999999999999</v>
      </c>
      <c r="K47" s="141">
        <v>11.585699999999999</v>
      </c>
      <c r="T47">
        <v>243</v>
      </c>
      <c r="U47">
        <v>0</v>
      </c>
      <c r="V47">
        <v>95</v>
      </c>
      <c r="W47">
        <v>9</v>
      </c>
      <c r="X47">
        <v>1</v>
      </c>
      <c r="Y47">
        <v>11.585699999999999</v>
      </c>
      <c r="Z47">
        <v>6.3E-2</v>
      </c>
      <c r="AA47">
        <v>79</v>
      </c>
      <c r="AB47">
        <v>60</v>
      </c>
    </row>
    <row r="48" spans="1:28" ht="14.25" x14ac:dyDescent="0.2">
      <c r="C48" s="35" t="s">
        <v>108</v>
      </c>
      <c r="D48" s="3"/>
      <c r="E48" s="139">
        <v>1051.72</v>
      </c>
      <c r="F48" s="139">
        <v>9.4499999999999993</v>
      </c>
      <c r="G48" s="140"/>
      <c r="H48" s="140"/>
      <c r="I48" s="140">
        <v>1</v>
      </c>
      <c r="J48" s="139">
        <v>0.7</v>
      </c>
      <c r="K48" s="139">
        <v>6.3E-2</v>
      </c>
    </row>
    <row r="49" spans="1:28" x14ac:dyDescent="0.2">
      <c r="C49" s="36" t="s">
        <v>1134</v>
      </c>
    </row>
    <row r="50" spans="1:28" x14ac:dyDescent="0.2">
      <c r="C50" s="20" t="s">
        <v>89</v>
      </c>
      <c r="D50" s="37">
        <v>82</v>
      </c>
      <c r="E50" s="144">
        <v>870.15940000000001</v>
      </c>
      <c r="F50" s="37"/>
      <c r="G50" s="143">
        <v>79</v>
      </c>
      <c r="H50" s="37" t="s">
        <v>109</v>
      </c>
      <c r="I50" s="37"/>
      <c r="J50" s="37"/>
      <c r="K50" s="37"/>
    </row>
    <row r="51" spans="1:28" x14ac:dyDescent="0.2">
      <c r="C51" s="20" t="s">
        <v>92</v>
      </c>
      <c r="D51" s="37">
        <v>62</v>
      </c>
      <c r="E51" s="144">
        <v>657.92540000000008</v>
      </c>
      <c r="F51" s="37"/>
      <c r="G51" s="143">
        <v>60</v>
      </c>
      <c r="H51" s="37" t="s">
        <v>110</v>
      </c>
      <c r="I51" s="37"/>
      <c r="J51" s="37"/>
      <c r="K51" s="37"/>
    </row>
    <row r="52" spans="1:28" x14ac:dyDescent="0.2">
      <c r="C52" s="20" t="s">
        <v>95</v>
      </c>
      <c r="D52" s="37"/>
      <c r="E52" s="144">
        <v>2676.8748000000001</v>
      </c>
      <c r="F52" s="37"/>
      <c r="G52" s="143">
        <v>243</v>
      </c>
      <c r="H52" s="37"/>
      <c r="I52" s="37"/>
      <c r="J52" s="37"/>
      <c r="K52" s="37"/>
    </row>
    <row r="53" spans="1:28" ht="14.25" x14ac:dyDescent="0.2">
      <c r="A53" s="149" t="s">
        <v>111</v>
      </c>
      <c r="B53" s="149" t="s">
        <v>1146</v>
      </c>
      <c r="C53" s="145" t="s">
        <v>98</v>
      </c>
      <c r="D53" s="3">
        <v>0.95940000000000003</v>
      </c>
      <c r="E53" s="141">
        <v>0</v>
      </c>
      <c r="F53" s="141">
        <v>0</v>
      </c>
      <c r="G53" s="140">
        <v>0</v>
      </c>
      <c r="H53" s="140">
        <v>0</v>
      </c>
      <c r="I53" s="142">
        <v>0</v>
      </c>
      <c r="J53" s="141">
        <v>0</v>
      </c>
      <c r="K53" s="141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</row>
    <row r="54" spans="1:28" ht="14.25" x14ac:dyDescent="0.2">
      <c r="C54" s="35" t="s">
        <v>99</v>
      </c>
      <c r="D54" s="3"/>
      <c r="E54" s="139">
        <v>0</v>
      </c>
      <c r="F54" s="139">
        <v>0</v>
      </c>
      <c r="G54" s="140"/>
      <c r="H54" s="140"/>
      <c r="I54" s="140">
        <v>0</v>
      </c>
      <c r="J54" s="139">
        <v>0</v>
      </c>
      <c r="K54" s="139">
        <v>0</v>
      </c>
    </row>
    <row r="55" spans="1:28" ht="85.5" x14ac:dyDescent="0.2">
      <c r="A55" s="149" t="s">
        <v>112</v>
      </c>
      <c r="B55" s="149" t="s">
        <v>1600</v>
      </c>
      <c r="C55" s="145" t="s">
        <v>1601</v>
      </c>
      <c r="D55" s="3">
        <v>0.17599999999999999</v>
      </c>
      <c r="E55" s="141">
        <v>398.87</v>
      </c>
      <c r="F55" s="141">
        <v>29.07</v>
      </c>
      <c r="G55" s="140">
        <v>70</v>
      </c>
      <c r="H55" s="140">
        <v>65</v>
      </c>
      <c r="I55" s="142">
        <v>5</v>
      </c>
      <c r="J55" s="141">
        <v>46.11</v>
      </c>
      <c r="K55" s="141">
        <v>8.115359999999999</v>
      </c>
      <c r="T55">
        <v>167</v>
      </c>
      <c r="U55">
        <v>0</v>
      </c>
      <c r="V55">
        <v>65</v>
      </c>
      <c r="W55">
        <v>5</v>
      </c>
      <c r="X55">
        <v>2</v>
      </c>
      <c r="Y55">
        <v>8.115359999999999</v>
      </c>
      <c r="Z55">
        <v>0.16367999999999999</v>
      </c>
      <c r="AA55">
        <v>55</v>
      </c>
      <c r="AB55">
        <v>42</v>
      </c>
    </row>
    <row r="56" spans="1:28" ht="14.25" x14ac:dyDescent="0.2">
      <c r="C56" s="35" t="s">
        <v>97</v>
      </c>
      <c r="D56" s="3"/>
      <c r="E56" s="139">
        <v>369.8</v>
      </c>
      <c r="F56" s="139">
        <v>12.56</v>
      </c>
      <c r="G56" s="140"/>
      <c r="H56" s="140"/>
      <c r="I56" s="140">
        <v>2</v>
      </c>
      <c r="J56" s="139">
        <v>0.93</v>
      </c>
      <c r="K56" s="139">
        <v>0.16367999999999999</v>
      </c>
    </row>
    <row r="57" spans="1:28" ht="38.25" x14ac:dyDescent="0.2">
      <c r="C57" s="36" t="s">
        <v>1602</v>
      </c>
    </row>
    <row r="58" spans="1:28" x14ac:dyDescent="0.2">
      <c r="C58" s="20" t="s">
        <v>89</v>
      </c>
      <c r="D58" s="37">
        <v>82</v>
      </c>
      <c r="E58" s="144">
        <v>313.53520000000003</v>
      </c>
      <c r="F58" s="37"/>
      <c r="G58" s="143">
        <v>55</v>
      </c>
      <c r="H58" s="37" t="s">
        <v>109</v>
      </c>
      <c r="I58" s="37"/>
      <c r="J58" s="37"/>
      <c r="K58" s="37"/>
    </row>
    <row r="59" spans="1:28" x14ac:dyDescent="0.2">
      <c r="C59" s="20" t="s">
        <v>92</v>
      </c>
      <c r="D59" s="37">
        <v>62</v>
      </c>
      <c r="E59" s="144">
        <v>237.06319999999999</v>
      </c>
      <c r="F59" s="37"/>
      <c r="G59" s="143">
        <v>42</v>
      </c>
      <c r="H59" s="37" t="s">
        <v>110</v>
      </c>
      <c r="I59" s="37"/>
      <c r="J59" s="37"/>
      <c r="K59" s="37"/>
    </row>
    <row r="60" spans="1:28" x14ac:dyDescent="0.2">
      <c r="C60" s="20" t="s">
        <v>95</v>
      </c>
      <c r="D60" s="37"/>
      <c r="E60" s="144">
        <v>949.46840000000009</v>
      </c>
      <c r="F60" s="37"/>
      <c r="G60" s="143">
        <v>167</v>
      </c>
      <c r="H60" s="37"/>
      <c r="I60" s="37"/>
      <c r="J60" s="37"/>
      <c r="K60" s="37"/>
    </row>
    <row r="61" spans="1:28" ht="14.25" x14ac:dyDescent="0.2">
      <c r="A61" s="149" t="s">
        <v>1135</v>
      </c>
      <c r="B61" s="149" t="s">
        <v>1146</v>
      </c>
      <c r="C61" s="145" t="s">
        <v>98</v>
      </c>
      <c r="D61" s="3">
        <v>0.6019199999999999</v>
      </c>
      <c r="E61" s="141">
        <v>0</v>
      </c>
      <c r="F61" s="141">
        <v>0</v>
      </c>
      <c r="G61" s="140">
        <v>0</v>
      </c>
      <c r="H61" s="140">
        <v>0</v>
      </c>
      <c r="I61" s="142">
        <v>0</v>
      </c>
      <c r="J61" s="141">
        <v>0</v>
      </c>
      <c r="K61" s="14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</row>
    <row r="62" spans="1:28" ht="14.25" x14ac:dyDescent="0.2">
      <c r="C62" s="35" t="s">
        <v>99</v>
      </c>
      <c r="D62" s="3"/>
      <c r="E62" s="139">
        <v>0</v>
      </c>
      <c r="F62" s="139">
        <v>0</v>
      </c>
      <c r="G62" s="140"/>
      <c r="H62" s="140"/>
      <c r="I62" s="140">
        <v>0</v>
      </c>
      <c r="J62" s="139">
        <v>0</v>
      </c>
      <c r="K62" s="139">
        <v>0</v>
      </c>
    </row>
    <row r="63" spans="1:28" ht="117.75" x14ac:dyDescent="0.2">
      <c r="A63" s="149" t="s">
        <v>114</v>
      </c>
      <c r="B63" s="149" t="s">
        <v>1603</v>
      </c>
      <c r="C63" s="145" t="s">
        <v>1381</v>
      </c>
      <c r="D63" s="3">
        <v>3.0000000000000001E-3</v>
      </c>
      <c r="E63" s="141">
        <v>1296.07</v>
      </c>
      <c r="F63" s="141">
        <v>187.51</v>
      </c>
      <c r="G63" s="140">
        <v>4</v>
      </c>
      <c r="H63" s="140">
        <v>3</v>
      </c>
      <c r="I63" s="142">
        <v>1</v>
      </c>
      <c r="J63" s="141">
        <v>125.12</v>
      </c>
      <c r="K63" s="141">
        <v>0.37536000000000003</v>
      </c>
      <c r="T63">
        <v>9</v>
      </c>
      <c r="U63">
        <v>0</v>
      </c>
      <c r="V63">
        <v>3</v>
      </c>
      <c r="W63">
        <v>1</v>
      </c>
      <c r="X63">
        <v>0</v>
      </c>
      <c r="Y63">
        <v>0.37536000000000003</v>
      </c>
      <c r="Z63">
        <v>7.0800000000000012E-3</v>
      </c>
      <c r="AA63">
        <v>3</v>
      </c>
      <c r="AB63">
        <v>2</v>
      </c>
    </row>
    <row r="64" spans="1:28" ht="14.25" x14ac:dyDescent="0.2">
      <c r="C64" s="35" t="s">
        <v>97</v>
      </c>
      <c r="D64" s="3"/>
      <c r="E64" s="139">
        <v>1108.56</v>
      </c>
      <c r="F64" s="139">
        <v>30.35</v>
      </c>
      <c r="G64" s="140"/>
      <c r="H64" s="140"/>
      <c r="I64" s="140">
        <v>0</v>
      </c>
      <c r="J64" s="139">
        <v>2.3600000000000003</v>
      </c>
      <c r="K64" s="139">
        <v>7.0800000000000012E-3</v>
      </c>
    </row>
    <row r="65" spans="1:28" x14ac:dyDescent="0.2">
      <c r="C65" s="36" t="s">
        <v>1604</v>
      </c>
    </row>
    <row r="66" spans="1:28" x14ac:dyDescent="0.2">
      <c r="C66" s="20" t="s">
        <v>89</v>
      </c>
      <c r="D66" s="37">
        <v>122</v>
      </c>
      <c r="E66" s="144">
        <v>1250.5231799999999</v>
      </c>
      <c r="F66" s="37" t="s">
        <v>1149</v>
      </c>
      <c r="G66" s="143">
        <v>3</v>
      </c>
      <c r="H66" s="37" t="s">
        <v>1150</v>
      </c>
      <c r="I66" s="37"/>
      <c r="J66" s="37"/>
      <c r="K66" s="37"/>
    </row>
    <row r="67" spans="1:28" x14ac:dyDescent="0.2">
      <c r="C67" s="20" t="s">
        <v>92</v>
      </c>
      <c r="D67" s="37">
        <v>80</v>
      </c>
      <c r="E67" s="144">
        <v>774.45879999999988</v>
      </c>
      <c r="F67" s="37" t="s">
        <v>1151</v>
      </c>
      <c r="G67" s="143">
        <v>2</v>
      </c>
      <c r="H67" s="37" t="s">
        <v>136</v>
      </c>
      <c r="I67" s="37"/>
      <c r="J67" s="37"/>
      <c r="K67" s="37"/>
    </row>
    <row r="68" spans="1:28" x14ac:dyDescent="0.2">
      <c r="C68" s="20" t="s">
        <v>95</v>
      </c>
      <c r="D68" s="37"/>
      <c r="E68" s="144">
        <v>3321.0519799999997</v>
      </c>
      <c r="F68" s="37"/>
      <c r="G68" s="143">
        <v>9</v>
      </c>
      <c r="H68" s="37"/>
      <c r="I68" s="37"/>
      <c r="J68" s="37"/>
      <c r="K68" s="37"/>
    </row>
    <row r="69" spans="1:28" ht="132" x14ac:dyDescent="0.2">
      <c r="A69" s="149" t="s">
        <v>115</v>
      </c>
      <c r="B69" s="149" t="s">
        <v>1605</v>
      </c>
      <c r="C69" s="145" t="s">
        <v>1380</v>
      </c>
      <c r="D69" s="3">
        <v>0.24</v>
      </c>
      <c r="E69" s="141">
        <v>357.17</v>
      </c>
      <c r="F69" s="141">
        <v>78.92</v>
      </c>
      <c r="G69" s="140">
        <v>86</v>
      </c>
      <c r="H69" s="140">
        <v>67</v>
      </c>
      <c r="I69" s="142">
        <v>19</v>
      </c>
      <c r="J69" s="141">
        <v>32.619999999999997</v>
      </c>
      <c r="K69" s="141">
        <v>7.8287999999999993</v>
      </c>
      <c r="T69">
        <v>190</v>
      </c>
      <c r="U69">
        <v>0</v>
      </c>
      <c r="V69">
        <v>67</v>
      </c>
      <c r="W69">
        <v>19</v>
      </c>
      <c r="X69">
        <v>1</v>
      </c>
      <c r="Y69">
        <v>7.8287999999999993</v>
      </c>
      <c r="Z69">
        <v>5.2079999999999994E-2</v>
      </c>
      <c r="AA69">
        <v>55</v>
      </c>
      <c r="AB69">
        <v>49</v>
      </c>
    </row>
    <row r="70" spans="1:28" ht="14.25" x14ac:dyDescent="0.2">
      <c r="C70" s="35" t="s">
        <v>99</v>
      </c>
      <c r="D70" s="3"/>
      <c r="E70" s="139">
        <v>278.25</v>
      </c>
      <c r="F70" s="139">
        <v>2.67</v>
      </c>
      <c r="G70" s="140"/>
      <c r="H70" s="140"/>
      <c r="I70" s="140">
        <v>1</v>
      </c>
      <c r="J70" s="139">
        <v>0.217</v>
      </c>
      <c r="K70" s="139">
        <v>5.2079999999999994E-2</v>
      </c>
    </row>
    <row r="71" spans="1:28" x14ac:dyDescent="0.2">
      <c r="C71" s="36" t="s">
        <v>1136</v>
      </c>
    </row>
    <row r="72" spans="1:28" x14ac:dyDescent="0.2">
      <c r="C72" s="20" t="s">
        <v>89</v>
      </c>
      <c r="D72" s="37">
        <v>90</v>
      </c>
      <c r="E72" s="144">
        <v>227.54519999999999</v>
      </c>
      <c r="F72" s="37" t="s">
        <v>101</v>
      </c>
      <c r="G72" s="143">
        <v>55</v>
      </c>
      <c r="H72" s="37" t="s">
        <v>102</v>
      </c>
      <c r="I72" s="37"/>
      <c r="J72" s="37"/>
      <c r="K72" s="37"/>
    </row>
    <row r="73" spans="1:28" x14ac:dyDescent="0.2">
      <c r="C73" s="20" t="s">
        <v>92</v>
      </c>
      <c r="D73" s="37">
        <v>85</v>
      </c>
      <c r="E73" s="144">
        <v>202.96470000000002</v>
      </c>
      <c r="F73" s="37" t="s">
        <v>103</v>
      </c>
      <c r="G73" s="143">
        <v>49</v>
      </c>
      <c r="H73" s="37" t="s">
        <v>104</v>
      </c>
      <c r="I73" s="37"/>
      <c r="J73" s="37"/>
      <c r="K73" s="37"/>
    </row>
    <row r="74" spans="1:28" x14ac:dyDescent="0.2">
      <c r="C74" s="20" t="s">
        <v>95</v>
      </c>
      <c r="D74" s="37"/>
      <c r="E74" s="144">
        <v>787.67990000000009</v>
      </c>
      <c r="F74" s="37"/>
      <c r="G74" s="143">
        <v>190</v>
      </c>
      <c r="H74" s="37"/>
      <c r="I74" s="37"/>
      <c r="J74" s="37"/>
      <c r="K74" s="37"/>
    </row>
    <row r="75" spans="1:28" ht="99.75" x14ac:dyDescent="0.2">
      <c r="A75" s="149" t="s">
        <v>116</v>
      </c>
      <c r="B75" s="149" t="s">
        <v>1606</v>
      </c>
      <c r="C75" s="145" t="s">
        <v>1607</v>
      </c>
      <c r="D75" s="3">
        <v>2.3420000000000001</v>
      </c>
      <c r="E75" s="141">
        <v>926.19</v>
      </c>
      <c r="F75" s="141">
        <v>99.07</v>
      </c>
      <c r="G75" s="140">
        <v>2169</v>
      </c>
      <c r="H75" s="140">
        <v>1937</v>
      </c>
      <c r="I75" s="142">
        <v>232</v>
      </c>
      <c r="J75" s="141">
        <v>90.1</v>
      </c>
      <c r="K75" s="141">
        <v>211.01419999999999</v>
      </c>
      <c r="T75">
        <v>5240</v>
      </c>
      <c r="U75">
        <v>0</v>
      </c>
      <c r="V75">
        <v>1937</v>
      </c>
      <c r="W75">
        <v>232</v>
      </c>
      <c r="X75">
        <v>0</v>
      </c>
      <c r="Y75">
        <v>211.01419999999999</v>
      </c>
      <c r="Z75">
        <v>0</v>
      </c>
      <c r="AA75">
        <v>1918</v>
      </c>
      <c r="AB75">
        <v>1153</v>
      </c>
    </row>
    <row r="76" spans="1:28" ht="14.25" x14ac:dyDescent="0.2">
      <c r="C76" s="35" t="s">
        <v>97</v>
      </c>
      <c r="D76" s="3"/>
      <c r="E76" s="139">
        <v>827.12</v>
      </c>
      <c r="F76" s="139">
        <v>0</v>
      </c>
      <c r="G76" s="140"/>
      <c r="H76" s="140"/>
      <c r="I76" s="140">
        <v>0</v>
      </c>
      <c r="J76" s="139">
        <v>0</v>
      </c>
      <c r="K76" s="139">
        <v>0</v>
      </c>
    </row>
    <row r="77" spans="1:28" x14ac:dyDescent="0.2">
      <c r="C77" s="36" t="s">
        <v>1137</v>
      </c>
    </row>
    <row r="78" spans="1:28" x14ac:dyDescent="0.2">
      <c r="C78" s="20" t="s">
        <v>89</v>
      </c>
      <c r="D78" s="37">
        <v>110</v>
      </c>
      <c r="E78" s="144">
        <v>818.8488000000001</v>
      </c>
      <c r="F78" s="37" t="s">
        <v>90</v>
      </c>
      <c r="G78" s="143">
        <v>1918</v>
      </c>
      <c r="H78" s="37" t="s">
        <v>91</v>
      </c>
      <c r="I78" s="37"/>
      <c r="J78" s="37"/>
      <c r="K78" s="37"/>
    </row>
    <row r="79" spans="1:28" x14ac:dyDescent="0.2">
      <c r="C79" s="20" t="s">
        <v>92</v>
      </c>
      <c r="D79" s="37">
        <v>70</v>
      </c>
      <c r="E79" s="144">
        <v>492.13639999999998</v>
      </c>
      <c r="F79" s="37" t="s">
        <v>93</v>
      </c>
      <c r="G79" s="143">
        <v>1153</v>
      </c>
      <c r="H79" s="37" t="s">
        <v>94</v>
      </c>
      <c r="I79" s="37"/>
      <c r="J79" s="37"/>
      <c r="K79" s="37"/>
    </row>
    <row r="80" spans="1:28" x14ac:dyDescent="0.2">
      <c r="C80" s="20" t="s">
        <v>95</v>
      </c>
      <c r="D80" s="37"/>
      <c r="E80" s="144">
        <v>2237.1752000000001</v>
      </c>
      <c r="F80" s="37"/>
      <c r="G80" s="143">
        <v>5240</v>
      </c>
      <c r="H80" s="37"/>
      <c r="I80" s="37"/>
      <c r="J80" s="37"/>
      <c r="K80" s="37"/>
    </row>
    <row r="81" spans="1:28" ht="14.25" x14ac:dyDescent="0.2">
      <c r="A81" s="149" t="s">
        <v>1608</v>
      </c>
      <c r="B81" s="149" t="s">
        <v>1146</v>
      </c>
      <c r="C81" s="145" t="s">
        <v>98</v>
      </c>
      <c r="D81" s="3">
        <v>13.583600000000001</v>
      </c>
      <c r="E81" s="141">
        <v>0</v>
      </c>
      <c r="F81" s="141">
        <v>0</v>
      </c>
      <c r="G81" s="140">
        <v>0</v>
      </c>
      <c r="H81" s="140">
        <v>0</v>
      </c>
      <c r="I81" s="142">
        <v>0</v>
      </c>
      <c r="J81" s="141">
        <v>0</v>
      </c>
      <c r="K81" s="14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</row>
    <row r="82" spans="1:28" ht="14.25" x14ac:dyDescent="0.2">
      <c r="C82" s="35" t="s">
        <v>99</v>
      </c>
      <c r="D82" s="3"/>
      <c r="E82" s="139">
        <v>0</v>
      </c>
      <c r="F82" s="139">
        <v>0</v>
      </c>
      <c r="G82" s="140"/>
      <c r="H82" s="140"/>
      <c r="I82" s="140">
        <v>0</v>
      </c>
      <c r="J82" s="139">
        <v>0</v>
      </c>
      <c r="K82" s="139">
        <v>0</v>
      </c>
    </row>
    <row r="83" spans="1:28" ht="117.75" x14ac:dyDescent="0.2">
      <c r="A83" s="149" t="s">
        <v>118</v>
      </c>
      <c r="B83" s="149" t="s">
        <v>1543</v>
      </c>
      <c r="C83" s="145" t="s">
        <v>1123</v>
      </c>
      <c r="D83" s="3">
        <v>6.84</v>
      </c>
      <c r="E83" s="141">
        <v>26.76</v>
      </c>
      <c r="F83" s="141">
        <v>10.09</v>
      </c>
      <c r="G83" s="140">
        <v>183</v>
      </c>
      <c r="H83" s="140">
        <v>114</v>
      </c>
      <c r="I83" s="142">
        <v>69</v>
      </c>
      <c r="J83" s="141">
        <v>1.68</v>
      </c>
      <c r="K83" s="141">
        <v>11.491199999999999</v>
      </c>
      <c r="T83">
        <v>372</v>
      </c>
      <c r="U83">
        <v>0</v>
      </c>
      <c r="V83">
        <v>114</v>
      </c>
      <c r="W83">
        <v>69</v>
      </c>
      <c r="X83">
        <v>9</v>
      </c>
      <c r="Y83">
        <v>11.491199999999999</v>
      </c>
      <c r="Z83">
        <v>0.81395999999999991</v>
      </c>
      <c r="AA83">
        <v>100</v>
      </c>
      <c r="AB83">
        <v>89</v>
      </c>
    </row>
    <row r="84" spans="1:28" ht="14.25" x14ac:dyDescent="0.2">
      <c r="C84" s="35" t="s">
        <v>117</v>
      </c>
      <c r="D84" s="3"/>
      <c r="E84" s="139">
        <v>16.670000000000002</v>
      </c>
      <c r="F84" s="139">
        <v>1.38</v>
      </c>
      <c r="G84" s="140"/>
      <c r="H84" s="140"/>
      <c r="I84" s="140">
        <v>9</v>
      </c>
      <c r="J84" s="139">
        <v>0.11899999999999999</v>
      </c>
      <c r="K84" s="139">
        <v>0.81395999999999991</v>
      </c>
    </row>
    <row r="85" spans="1:28" x14ac:dyDescent="0.2">
      <c r="C85" s="36" t="s">
        <v>1138</v>
      </c>
    </row>
    <row r="86" spans="1:28" x14ac:dyDescent="0.2">
      <c r="C86" s="20" t="s">
        <v>89</v>
      </c>
      <c r="D86" s="37">
        <v>90</v>
      </c>
      <c r="E86" s="144">
        <v>14.6205</v>
      </c>
      <c r="F86" s="37" t="s">
        <v>101</v>
      </c>
      <c r="G86" s="143">
        <v>100</v>
      </c>
      <c r="H86" s="37" t="s">
        <v>102</v>
      </c>
      <c r="I86" s="37"/>
      <c r="J86" s="37"/>
      <c r="K86" s="37"/>
    </row>
    <row r="87" spans="1:28" x14ac:dyDescent="0.2">
      <c r="C87" s="20" t="s">
        <v>92</v>
      </c>
      <c r="D87" s="37">
        <v>85</v>
      </c>
      <c r="E87" s="144">
        <v>13.041124999999999</v>
      </c>
      <c r="F87" s="37" t="s">
        <v>103</v>
      </c>
      <c r="G87" s="143">
        <v>89</v>
      </c>
      <c r="H87" s="37" t="s">
        <v>104</v>
      </c>
      <c r="I87" s="37"/>
      <c r="J87" s="37"/>
      <c r="K87" s="37"/>
    </row>
    <row r="88" spans="1:28" x14ac:dyDescent="0.2">
      <c r="C88" s="20" t="s">
        <v>95</v>
      </c>
      <c r="D88" s="37"/>
      <c r="E88" s="144">
        <v>54.421625000000006</v>
      </c>
      <c r="F88" s="37"/>
      <c r="G88" s="143">
        <v>372</v>
      </c>
      <c r="H88" s="37"/>
      <c r="I88" s="37"/>
      <c r="J88" s="37"/>
      <c r="K88" s="37"/>
    </row>
    <row r="89" spans="1:28" ht="85.5" x14ac:dyDescent="0.2">
      <c r="A89" s="149" t="s">
        <v>119</v>
      </c>
      <c r="B89" s="149" t="s">
        <v>1609</v>
      </c>
      <c r="C89" s="145" t="s">
        <v>1610</v>
      </c>
      <c r="D89" s="3">
        <v>0.03</v>
      </c>
      <c r="E89" s="141">
        <v>1643.9</v>
      </c>
      <c r="F89" s="141">
        <v>205.91</v>
      </c>
      <c r="G89" s="140">
        <v>49</v>
      </c>
      <c r="H89" s="140">
        <v>43</v>
      </c>
      <c r="I89" s="142">
        <v>6</v>
      </c>
      <c r="J89" s="141">
        <v>179.3</v>
      </c>
      <c r="K89" s="141">
        <v>5.3790000000000004</v>
      </c>
      <c r="T89">
        <v>111</v>
      </c>
      <c r="U89">
        <v>0</v>
      </c>
      <c r="V89">
        <v>43</v>
      </c>
      <c r="W89">
        <v>6</v>
      </c>
      <c r="X89">
        <v>0</v>
      </c>
      <c r="Y89">
        <v>5.3790000000000004</v>
      </c>
      <c r="Z89">
        <v>0</v>
      </c>
      <c r="AA89">
        <v>35</v>
      </c>
      <c r="AB89">
        <v>27</v>
      </c>
    </row>
    <row r="90" spans="1:28" ht="14.25" x14ac:dyDescent="0.2">
      <c r="C90" s="35" t="s">
        <v>108</v>
      </c>
      <c r="D90" s="3"/>
      <c r="E90" s="139">
        <v>1437.99</v>
      </c>
      <c r="F90" s="139">
        <v>0</v>
      </c>
      <c r="G90" s="140"/>
      <c r="H90" s="140"/>
      <c r="I90" s="140">
        <v>0</v>
      </c>
      <c r="J90" s="139">
        <v>0</v>
      </c>
      <c r="K90" s="139">
        <v>0</v>
      </c>
    </row>
    <row r="91" spans="1:28" x14ac:dyDescent="0.2">
      <c r="C91" s="36" t="s">
        <v>1139</v>
      </c>
    </row>
    <row r="92" spans="1:28" x14ac:dyDescent="0.2">
      <c r="C92" s="20" t="s">
        <v>89</v>
      </c>
      <c r="D92" s="37">
        <v>82</v>
      </c>
      <c r="E92" s="144">
        <v>1179.1518000000001</v>
      </c>
      <c r="F92" s="37"/>
      <c r="G92" s="143">
        <v>35</v>
      </c>
      <c r="H92" s="37" t="s">
        <v>109</v>
      </c>
      <c r="I92" s="37"/>
      <c r="J92" s="37"/>
      <c r="K92" s="37"/>
    </row>
    <row r="93" spans="1:28" x14ac:dyDescent="0.2">
      <c r="C93" s="20" t="s">
        <v>92</v>
      </c>
      <c r="D93" s="37">
        <v>62</v>
      </c>
      <c r="E93" s="144">
        <v>891.55380000000002</v>
      </c>
      <c r="F93" s="37"/>
      <c r="G93" s="143">
        <v>27</v>
      </c>
      <c r="H93" s="37" t="s">
        <v>110</v>
      </c>
      <c r="I93" s="37"/>
      <c r="J93" s="37"/>
      <c r="K93" s="37"/>
    </row>
    <row r="94" spans="1:28" x14ac:dyDescent="0.2">
      <c r="C94" s="20" t="s">
        <v>95</v>
      </c>
      <c r="D94" s="37"/>
      <c r="E94" s="144">
        <v>3714.6056000000003</v>
      </c>
      <c r="F94" s="37"/>
      <c r="G94" s="143">
        <v>111</v>
      </c>
      <c r="H94" s="37"/>
      <c r="I94" s="37"/>
      <c r="J94" s="37"/>
      <c r="K94" s="37"/>
    </row>
    <row r="95" spans="1:28" ht="14.25" x14ac:dyDescent="0.2">
      <c r="A95" s="149" t="s">
        <v>1142</v>
      </c>
      <c r="B95" s="149" t="s">
        <v>1146</v>
      </c>
      <c r="C95" s="145" t="s">
        <v>98</v>
      </c>
      <c r="D95" s="3">
        <v>0.315</v>
      </c>
      <c r="E95" s="141">
        <v>0</v>
      </c>
      <c r="F95" s="141">
        <v>0</v>
      </c>
      <c r="G95" s="140">
        <v>0</v>
      </c>
      <c r="H95" s="140">
        <v>0</v>
      </c>
      <c r="I95" s="142">
        <v>0</v>
      </c>
      <c r="J95" s="141">
        <v>0</v>
      </c>
      <c r="K95" s="141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</row>
    <row r="96" spans="1:28" ht="14.25" x14ac:dyDescent="0.2">
      <c r="C96" s="35" t="s">
        <v>99</v>
      </c>
      <c r="D96" s="3"/>
      <c r="E96" s="139">
        <v>0</v>
      </c>
      <c r="F96" s="139">
        <v>0</v>
      </c>
      <c r="G96" s="140"/>
      <c r="H96" s="140"/>
      <c r="I96" s="140">
        <v>0</v>
      </c>
      <c r="J96" s="139">
        <v>0</v>
      </c>
      <c r="K96" s="139">
        <v>0</v>
      </c>
    </row>
    <row r="97" spans="1:28" ht="85.5" x14ac:dyDescent="0.2">
      <c r="A97" s="149" t="s">
        <v>120</v>
      </c>
      <c r="B97" s="149" t="s">
        <v>1611</v>
      </c>
      <c r="C97" s="145" t="s">
        <v>1140</v>
      </c>
      <c r="D97" s="3">
        <v>4.5999999999999999E-2</v>
      </c>
      <c r="E97" s="141">
        <v>288.06</v>
      </c>
      <c r="F97" s="141">
        <v>0</v>
      </c>
      <c r="G97" s="140">
        <v>13</v>
      </c>
      <c r="H97" s="140">
        <v>13</v>
      </c>
      <c r="I97" s="142">
        <v>0</v>
      </c>
      <c r="J97" s="141">
        <v>36.28</v>
      </c>
      <c r="K97" s="141">
        <v>1.6688799999999999</v>
      </c>
      <c r="T97">
        <v>32</v>
      </c>
      <c r="U97">
        <v>0</v>
      </c>
      <c r="V97">
        <v>13</v>
      </c>
      <c r="W97">
        <v>0</v>
      </c>
      <c r="X97">
        <v>0</v>
      </c>
      <c r="Y97">
        <v>1.6688799999999999</v>
      </c>
      <c r="Z97">
        <v>0</v>
      </c>
      <c r="AA97">
        <v>11</v>
      </c>
      <c r="AB97">
        <v>8</v>
      </c>
    </row>
    <row r="98" spans="1:28" ht="14.25" x14ac:dyDescent="0.2">
      <c r="C98" s="35" t="s">
        <v>97</v>
      </c>
      <c r="D98" s="3"/>
      <c r="E98" s="139">
        <v>288.06</v>
      </c>
      <c r="F98" s="139">
        <v>0</v>
      </c>
      <c r="G98" s="140"/>
      <c r="H98" s="140"/>
      <c r="I98" s="140">
        <v>0</v>
      </c>
      <c r="J98" s="139">
        <v>0</v>
      </c>
      <c r="K98" s="139">
        <v>0</v>
      </c>
    </row>
    <row r="99" spans="1:28" x14ac:dyDescent="0.2">
      <c r="C99" s="36" t="s">
        <v>1141</v>
      </c>
    </row>
    <row r="100" spans="1:28" x14ac:dyDescent="0.2">
      <c r="C100" s="20" t="s">
        <v>89</v>
      </c>
      <c r="D100" s="37">
        <v>82</v>
      </c>
      <c r="E100" s="144">
        <v>236.20920000000001</v>
      </c>
      <c r="F100" s="37"/>
      <c r="G100" s="143">
        <v>11</v>
      </c>
      <c r="H100" s="37" t="s">
        <v>109</v>
      </c>
      <c r="I100" s="37"/>
      <c r="J100" s="37"/>
      <c r="K100" s="37"/>
    </row>
    <row r="101" spans="1:28" x14ac:dyDescent="0.2">
      <c r="C101" s="20" t="s">
        <v>92</v>
      </c>
      <c r="D101" s="37">
        <v>62</v>
      </c>
      <c r="E101" s="144">
        <v>178.59720000000002</v>
      </c>
      <c r="F101" s="37"/>
      <c r="G101" s="143">
        <v>8</v>
      </c>
      <c r="H101" s="37" t="s">
        <v>110</v>
      </c>
      <c r="I101" s="37"/>
      <c r="J101" s="37"/>
      <c r="K101" s="37"/>
    </row>
    <row r="102" spans="1:28" x14ac:dyDescent="0.2">
      <c r="C102" s="20" t="s">
        <v>95</v>
      </c>
      <c r="D102" s="37"/>
      <c r="E102" s="144">
        <v>702.86640000000011</v>
      </c>
      <c r="F102" s="37"/>
      <c r="G102" s="143">
        <v>32</v>
      </c>
      <c r="H102" s="37"/>
      <c r="I102" s="37"/>
      <c r="J102" s="37"/>
      <c r="K102" s="37"/>
    </row>
    <row r="103" spans="1:28" ht="14.25" x14ac:dyDescent="0.2">
      <c r="A103" s="149" t="s">
        <v>1612</v>
      </c>
      <c r="B103" s="149" t="s">
        <v>1146</v>
      </c>
      <c r="C103" s="145" t="s">
        <v>98</v>
      </c>
      <c r="D103" s="3">
        <v>5.4279999999999995E-2</v>
      </c>
      <c r="E103" s="141">
        <v>0</v>
      </c>
      <c r="F103" s="141">
        <v>0</v>
      </c>
      <c r="G103" s="140">
        <v>0</v>
      </c>
      <c r="H103" s="140">
        <v>0</v>
      </c>
      <c r="I103" s="142">
        <v>0</v>
      </c>
      <c r="J103" s="141">
        <v>0</v>
      </c>
      <c r="K103" s="141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</row>
    <row r="104" spans="1:28" ht="14.25" x14ac:dyDescent="0.2">
      <c r="C104" s="35" t="s">
        <v>99</v>
      </c>
      <c r="D104" s="3"/>
      <c r="E104" s="139">
        <v>0</v>
      </c>
      <c r="F104" s="139">
        <v>0</v>
      </c>
      <c r="G104" s="140"/>
      <c r="H104" s="140"/>
      <c r="I104" s="140">
        <v>0</v>
      </c>
      <c r="J104" s="139">
        <v>0</v>
      </c>
      <c r="K104" s="139">
        <v>0</v>
      </c>
    </row>
    <row r="105" spans="1:28" ht="132" x14ac:dyDescent="0.2">
      <c r="A105" s="149" t="s">
        <v>123</v>
      </c>
      <c r="B105" s="149" t="s">
        <v>1547</v>
      </c>
      <c r="C105" s="145" t="s">
        <v>1379</v>
      </c>
      <c r="D105" s="3">
        <v>1.175</v>
      </c>
      <c r="E105" s="141">
        <v>1982.76</v>
      </c>
      <c r="F105" s="141">
        <v>1691.22</v>
      </c>
      <c r="G105" s="140">
        <v>2330</v>
      </c>
      <c r="H105" s="140">
        <v>343</v>
      </c>
      <c r="I105" s="142">
        <v>1987</v>
      </c>
      <c r="J105" s="141">
        <v>28.979999999999997</v>
      </c>
      <c r="K105" s="141">
        <v>34.051499999999997</v>
      </c>
      <c r="T105">
        <v>3012</v>
      </c>
      <c r="U105">
        <v>0</v>
      </c>
      <c r="V105">
        <v>343</v>
      </c>
      <c r="W105">
        <v>1987</v>
      </c>
      <c r="X105">
        <v>102</v>
      </c>
      <c r="Y105">
        <v>34.051499999999997</v>
      </c>
      <c r="Z105">
        <v>7.2955749999999986</v>
      </c>
      <c r="AA105">
        <v>360</v>
      </c>
      <c r="AB105">
        <v>322</v>
      </c>
    </row>
    <row r="106" spans="1:28" ht="14.25" x14ac:dyDescent="0.2">
      <c r="C106" s="35" t="s">
        <v>99</v>
      </c>
      <c r="D106" s="3"/>
      <c r="E106" s="139">
        <v>291.54000000000002</v>
      </c>
      <c r="F106" s="139">
        <v>86.7</v>
      </c>
      <c r="G106" s="140"/>
      <c r="H106" s="140"/>
      <c r="I106" s="140">
        <v>102</v>
      </c>
      <c r="J106" s="139">
        <v>6.2089999999999987</v>
      </c>
      <c r="K106" s="139">
        <v>7.2955749999999986</v>
      </c>
    </row>
    <row r="107" spans="1:28" x14ac:dyDescent="0.2">
      <c r="C107" s="36" t="s">
        <v>1613</v>
      </c>
    </row>
    <row r="108" spans="1:28" x14ac:dyDescent="0.2">
      <c r="C108" s="20" t="s">
        <v>89</v>
      </c>
      <c r="D108" s="37">
        <v>90</v>
      </c>
      <c r="E108" s="144">
        <v>306.37440000000004</v>
      </c>
      <c r="F108" s="37" t="s">
        <v>101</v>
      </c>
      <c r="G108" s="143">
        <v>360</v>
      </c>
      <c r="H108" s="37" t="s">
        <v>102</v>
      </c>
      <c r="I108" s="37"/>
      <c r="J108" s="37"/>
      <c r="K108" s="37"/>
    </row>
    <row r="109" spans="1:28" x14ac:dyDescent="0.2">
      <c r="C109" s="20" t="s">
        <v>92</v>
      </c>
      <c r="D109" s="37">
        <v>85</v>
      </c>
      <c r="E109" s="144">
        <v>273.27839999999998</v>
      </c>
      <c r="F109" s="37" t="s">
        <v>103</v>
      </c>
      <c r="G109" s="143">
        <v>322</v>
      </c>
      <c r="H109" s="37" t="s">
        <v>104</v>
      </c>
      <c r="I109" s="37"/>
      <c r="J109" s="37"/>
      <c r="K109" s="37"/>
    </row>
    <row r="110" spans="1:28" x14ac:dyDescent="0.2">
      <c r="C110" s="20" t="s">
        <v>95</v>
      </c>
      <c r="D110" s="37"/>
      <c r="E110" s="144">
        <v>2562.4128000000001</v>
      </c>
      <c r="F110" s="37"/>
      <c r="G110" s="143">
        <v>3012</v>
      </c>
      <c r="H110" s="37"/>
      <c r="I110" s="37"/>
      <c r="J110" s="37"/>
      <c r="K110" s="37"/>
    </row>
    <row r="111" spans="1:28" ht="99.75" x14ac:dyDescent="0.2">
      <c r="A111" s="149" t="s">
        <v>124</v>
      </c>
      <c r="B111" s="149" t="s">
        <v>1395</v>
      </c>
      <c r="C111" s="145" t="s">
        <v>1143</v>
      </c>
      <c r="D111" s="3">
        <v>34</v>
      </c>
      <c r="E111" s="141">
        <v>42.98</v>
      </c>
      <c r="F111" s="141">
        <v>0</v>
      </c>
      <c r="G111" s="140">
        <v>1461</v>
      </c>
      <c r="H111" s="140">
        <v>0</v>
      </c>
      <c r="I111" s="142">
        <v>0</v>
      </c>
      <c r="J111" s="141">
        <v>0</v>
      </c>
      <c r="K111" s="141">
        <v>0</v>
      </c>
      <c r="T111">
        <v>1461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</row>
    <row r="112" spans="1:28" ht="14.25" x14ac:dyDescent="0.2">
      <c r="C112" s="35" t="s">
        <v>125</v>
      </c>
      <c r="D112" s="3"/>
      <c r="E112" s="139">
        <v>0</v>
      </c>
      <c r="F112" s="139">
        <v>0</v>
      </c>
      <c r="G112" s="140"/>
      <c r="H112" s="140"/>
      <c r="I112" s="140">
        <v>0</v>
      </c>
      <c r="J112" s="139">
        <v>0</v>
      </c>
      <c r="K112" s="139">
        <v>0</v>
      </c>
    </row>
    <row r="113" spans="1:28" ht="51" x14ac:dyDescent="0.2">
      <c r="C113" s="36" t="s">
        <v>1144</v>
      </c>
    </row>
    <row r="114" spans="1:28" ht="99.75" x14ac:dyDescent="0.2">
      <c r="A114" s="149" t="s">
        <v>126</v>
      </c>
      <c r="B114" s="149" t="s">
        <v>1396</v>
      </c>
      <c r="C114" s="145" t="s">
        <v>1397</v>
      </c>
      <c r="D114" s="3">
        <v>32</v>
      </c>
      <c r="E114" s="141">
        <v>17.32</v>
      </c>
      <c r="F114" s="141">
        <v>0</v>
      </c>
      <c r="G114" s="140">
        <v>554</v>
      </c>
      <c r="H114" s="140">
        <v>0</v>
      </c>
      <c r="I114" s="142">
        <v>0</v>
      </c>
      <c r="J114" s="141">
        <v>0</v>
      </c>
      <c r="K114" s="141">
        <v>0</v>
      </c>
      <c r="T114">
        <v>554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</row>
    <row r="115" spans="1:28" ht="14.25" x14ac:dyDescent="0.2">
      <c r="C115" s="35" t="s">
        <v>125</v>
      </c>
      <c r="D115" s="3"/>
      <c r="E115" s="139">
        <v>0</v>
      </c>
      <c r="F115" s="139">
        <v>0</v>
      </c>
      <c r="G115" s="140"/>
      <c r="H115" s="140"/>
      <c r="I115" s="140">
        <v>0</v>
      </c>
      <c r="J115" s="139">
        <v>0</v>
      </c>
      <c r="K115" s="139">
        <v>0</v>
      </c>
    </row>
    <row r="116" spans="1:28" ht="99.75" x14ac:dyDescent="0.2">
      <c r="A116" s="149" t="s">
        <v>135</v>
      </c>
      <c r="B116" s="149" t="s">
        <v>1614</v>
      </c>
      <c r="C116" s="145" t="s">
        <v>1615</v>
      </c>
      <c r="D116" s="3">
        <v>2</v>
      </c>
      <c r="E116" s="141">
        <v>3.86</v>
      </c>
      <c r="F116" s="141">
        <v>0</v>
      </c>
      <c r="G116" s="140">
        <v>8</v>
      </c>
      <c r="H116" s="140">
        <v>0</v>
      </c>
      <c r="I116" s="142">
        <v>0</v>
      </c>
      <c r="J116" s="141">
        <v>0</v>
      </c>
      <c r="K116" s="141">
        <v>0</v>
      </c>
      <c r="T116">
        <v>8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ht="14.25" x14ac:dyDescent="0.2">
      <c r="C117" s="35" t="s">
        <v>125</v>
      </c>
      <c r="D117" s="3"/>
      <c r="E117" s="139">
        <v>0</v>
      </c>
      <c r="F117" s="139">
        <v>0</v>
      </c>
      <c r="G117" s="140"/>
      <c r="H117" s="140"/>
      <c r="I117" s="140">
        <v>0</v>
      </c>
      <c r="J117" s="139">
        <v>0</v>
      </c>
      <c r="K117" s="139">
        <v>0</v>
      </c>
    </row>
    <row r="118" spans="1:28" ht="38.25" x14ac:dyDescent="0.2">
      <c r="C118" s="36" t="s">
        <v>1590</v>
      </c>
    </row>
    <row r="120" spans="1:28" ht="15" x14ac:dyDescent="0.25">
      <c r="A120" s="4"/>
      <c r="B120" s="4"/>
      <c r="C120" s="187" t="s">
        <v>1145</v>
      </c>
      <c r="D120" s="187"/>
      <c r="E120" s="187"/>
      <c r="F120" s="187"/>
      <c r="G120" s="136">
        <f>IF(SUM(T22:T119)=0, "-", SUM(T22:T119))</f>
        <v>14669</v>
      </c>
      <c r="H120" s="136">
        <f>IF(SUM(V22:V119)=0, "-", SUM(V22:V119))</f>
        <v>3338</v>
      </c>
      <c r="I120" s="138">
        <f>IF(SUM(W22:W119)=0, "-", SUM(W22:W119))</f>
        <v>3744</v>
      </c>
      <c r="J120" s="136"/>
      <c r="K120" s="137">
        <f>IF(SUM(Y22:Y119)=0, "-", SUM(Y22:Y119))</f>
        <v>364.77114399999999</v>
      </c>
    </row>
    <row r="121" spans="1:28" ht="15" x14ac:dyDescent="0.25">
      <c r="A121" s="4"/>
      <c r="B121" s="4"/>
      <c r="C121" s="4"/>
      <c r="D121" s="4"/>
      <c r="E121" s="4"/>
      <c r="F121" s="4"/>
      <c r="G121" s="136"/>
      <c r="H121" s="136"/>
      <c r="I121" s="136">
        <f>IF(SUM(X22:X119)=0, "-", SUM(X22:X119))</f>
        <v>237</v>
      </c>
      <c r="J121" s="136"/>
      <c r="K121" s="135">
        <f>IF(SUM(Z22:Z119)=0, "-", SUM(Z22:Z119))</f>
        <v>17.418118999999997</v>
      </c>
    </row>
    <row r="124" spans="1:28" ht="14.25" x14ac:dyDescent="0.2">
      <c r="C124" s="183" t="s">
        <v>127</v>
      </c>
      <c r="D124" s="183"/>
      <c r="E124" s="183"/>
      <c r="F124" s="183"/>
      <c r="G124" s="183"/>
      <c r="H124" s="172">
        <v>3338</v>
      </c>
      <c r="I124" s="172"/>
    </row>
    <row r="125" spans="1:28" ht="14.25" x14ac:dyDescent="0.2">
      <c r="C125" s="183" t="s">
        <v>128</v>
      </c>
      <c r="D125" s="183"/>
      <c r="E125" s="183"/>
      <c r="F125" s="183"/>
      <c r="G125" s="183"/>
      <c r="H125" s="172">
        <v>3744</v>
      </c>
      <c r="I125" s="172"/>
    </row>
    <row r="126" spans="1:28" ht="14.25" x14ac:dyDescent="0.2">
      <c r="C126" s="183" t="s">
        <v>129</v>
      </c>
      <c r="D126" s="183"/>
      <c r="E126" s="183"/>
      <c r="F126" s="183"/>
      <c r="G126" s="183"/>
      <c r="H126" s="172" t="s">
        <v>1146</v>
      </c>
      <c r="I126" s="172"/>
    </row>
    <row r="127" spans="1:28" ht="14.25" x14ac:dyDescent="0.2">
      <c r="C127" s="183" t="s">
        <v>130</v>
      </c>
      <c r="D127" s="183"/>
      <c r="E127" s="183"/>
      <c r="F127" s="183"/>
      <c r="G127" s="183"/>
      <c r="H127" s="172">
        <v>3281</v>
      </c>
      <c r="I127" s="172"/>
    </row>
    <row r="128" spans="1:28" ht="14.25" x14ac:dyDescent="0.2">
      <c r="C128" s="183" t="s">
        <v>131</v>
      </c>
      <c r="D128" s="183"/>
      <c r="E128" s="183"/>
      <c r="F128" s="183"/>
      <c r="G128" s="183"/>
      <c r="H128" s="172">
        <v>2283</v>
      </c>
      <c r="I128" s="172"/>
    </row>
    <row r="129" spans="1:28" ht="14.25" x14ac:dyDescent="0.2">
      <c r="C129" s="183" t="s">
        <v>132</v>
      </c>
      <c r="D129" s="183"/>
      <c r="E129" s="183"/>
      <c r="F129" s="183"/>
      <c r="G129" s="183"/>
      <c r="H129" s="172">
        <v>562</v>
      </c>
      <c r="I129" s="172"/>
    </row>
    <row r="130" spans="1:28" ht="14.25" x14ac:dyDescent="0.2">
      <c r="C130" s="183" t="s">
        <v>133</v>
      </c>
      <c r="D130" s="183"/>
      <c r="E130" s="183"/>
      <c r="F130" s="183"/>
      <c r="G130" s="183"/>
      <c r="H130" s="172">
        <v>1461</v>
      </c>
      <c r="I130" s="172"/>
    </row>
    <row r="131" spans="1:28" ht="14.25" x14ac:dyDescent="0.2">
      <c r="C131" s="183" t="s">
        <v>134</v>
      </c>
      <c r="D131" s="183"/>
      <c r="E131" s="183"/>
      <c r="F131" s="183"/>
      <c r="G131" s="183"/>
      <c r="H131" s="172">
        <v>14669</v>
      </c>
      <c r="I131" s="172"/>
    </row>
    <row r="133" spans="1:28" ht="16.5" x14ac:dyDescent="0.25">
      <c r="A133" s="186" t="s">
        <v>1147</v>
      </c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</row>
    <row r="134" spans="1:28" ht="119.25" x14ac:dyDescent="0.2">
      <c r="A134" s="149" t="s">
        <v>138</v>
      </c>
      <c r="B134" s="149" t="s">
        <v>1582</v>
      </c>
      <c r="C134" s="145" t="s">
        <v>1378</v>
      </c>
      <c r="D134" s="3">
        <v>0.13700000000000001</v>
      </c>
      <c r="E134" s="141">
        <v>2679.8</v>
      </c>
      <c r="F134" s="141">
        <v>452.09</v>
      </c>
      <c r="G134" s="140">
        <v>367</v>
      </c>
      <c r="H134" s="140">
        <v>192</v>
      </c>
      <c r="I134" s="142">
        <v>62</v>
      </c>
      <c r="J134" s="141">
        <v>164.45</v>
      </c>
      <c r="K134" s="141">
        <v>22.52965</v>
      </c>
      <c r="T134">
        <v>726</v>
      </c>
      <c r="U134">
        <v>113</v>
      </c>
      <c r="V134">
        <v>192</v>
      </c>
      <c r="W134">
        <v>62</v>
      </c>
      <c r="X134">
        <v>10</v>
      </c>
      <c r="Y134">
        <v>22.52965</v>
      </c>
      <c r="Z134">
        <v>0.72096250000000006</v>
      </c>
      <c r="AA134">
        <v>222</v>
      </c>
      <c r="AB134">
        <v>137</v>
      </c>
    </row>
    <row r="135" spans="1:28" ht="14.25" x14ac:dyDescent="0.2">
      <c r="C135" s="35" t="s">
        <v>97</v>
      </c>
      <c r="D135" s="3"/>
      <c r="E135" s="139">
        <v>1402.76</v>
      </c>
      <c r="F135" s="139">
        <v>70.81</v>
      </c>
      <c r="G135" s="140"/>
      <c r="H135" s="140"/>
      <c r="I135" s="140">
        <v>10</v>
      </c>
      <c r="J135" s="139">
        <v>5.2625000000000002</v>
      </c>
      <c r="K135" s="139">
        <v>0.72096250000000006</v>
      </c>
    </row>
    <row r="136" spans="1:28" x14ac:dyDescent="0.2">
      <c r="C136" s="36" t="s">
        <v>1148</v>
      </c>
    </row>
    <row r="137" spans="1:28" x14ac:dyDescent="0.2">
      <c r="C137" s="20" t="s">
        <v>89</v>
      </c>
      <c r="D137" s="37">
        <v>122</v>
      </c>
      <c r="E137" s="144">
        <v>1617.9798599999997</v>
      </c>
      <c r="F137" s="37" t="s">
        <v>1149</v>
      </c>
      <c r="G137" s="143">
        <v>222</v>
      </c>
      <c r="H137" s="37" t="s">
        <v>1150</v>
      </c>
      <c r="I137" s="37"/>
      <c r="J137" s="37"/>
      <c r="K137" s="37"/>
    </row>
    <row r="138" spans="1:28" x14ac:dyDescent="0.2">
      <c r="C138" s="20" t="s">
        <v>92</v>
      </c>
      <c r="D138" s="37">
        <v>80</v>
      </c>
      <c r="E138" s="144">
        <v>1002.0275999999999</v>
      </c>
      <c r="F138" s="37" t="s">
        <v>1151</v>
      </c>
      <c r="G138" s="143">
        <v>137</v>
      </c>
      <c r="H138" s="37" t="s">
        <v>136</v>
      </c>
      <c r="I138" s="37"/>
      <c r="J138" s="37"/>
      <c r="K138" s="37"/>
    </row>
    <row r="139" spans="1:28" x14ac:dyDescent="0.2">
      <c r="C139" s="20" t="s">
        <v>95</v>
      </c>
      <c r="D139" s="37"/>
      <c r="E139" s="144">
        <v>5299.80746</v>
      </c>
      <c r="F139" s="37"/>
      <c r="G139" s="143">
        <v>726</v>
      </c>
      <c r="H139" s="37"/>
      <c r="I139" s="37"/>
      <c r="J139" s="37"/>
      <c r="K139" s="37"/>
    </row>
    <row r="140" spans="1:28" ht="14.25" x14ac:dyDescent="0.2">
      <c r="A140" s="149" t="s">
        <v>1583</v>
      </c>
      <c r="B140" s="149" t="s">
        <v>1146</v>
      </c>
      <c r="C140" s="145" t="s">
        <v>1152</v>
      </c>
      <c r="D140" s="3">
        <v>0.31509999999999999</v>
      </c>
      <c r="E140" s="141">
        <v>0</v>
      </c>
      <c r="F140" s="141">
        <v>0</v>
      </c>
      <c r="G140" s="140">
        <v>0</v>
      </c>
      <c r="H140" s="140">
        <v>0</v>
      </c>
      <c r="I140" s="142">
        <v>0</v>
      </c>
      <c r="J140" s="141">
        <v>0</v>
      </c>
      <c r="K140" s="141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</row>
    <row r="141" spans="1:28" ht="14.25" x14ac:dyDescent="0.2">
      <c r="C141" s="35" t="s">
        <v>88</v>
      </c>
      <c r="D141" s="3"/>
      <c r="E141" s="139">
        <v>0</v>
      </c>
      <c r="F141" s="139">
        <v>0</v>
      </c>
      <c r="G141" s="140"/>
      <c r="H141" s="140"/>
      <c r="I141" s="140">
        <v>0</v>
      </c>
      <c r="J141" s="139">
        <v>0</v>
      </c>
      <c r="K141" s="139">
        <v>0</v>
      </c>
    </row>
    <row r="142" spans="1:28" ht="14.25" x14ac:dyDescent="0.2">
      <c r="A142" s="149" t="s">
        <v>1584</v>
      </c>
      <c r="B142" s="149" t="s">
        <v>1146</v>
      </c>
      <c r="C142" s="145" t="s">
        <v>1153</v>
      </c>
      <c r="D142" s="3">
        <v>0.68500000000000005</v>
      </c>
      <c r="E142" s="141">
        <v>0</v>
      </c>
      <c r="F142" s="141">
        <v>0</v>
      </c>
      <c r="G142" s="140">
        <v>0</v>
      </c>
      <c r="H142" s="140">
        <v>0</v>
      </c>
      <c r="I142" s="142">
        <v>0</v>
      </c>
      <c r="J142" s="141">
        <v>0</v>
      </c>
      <c r="K142" s="141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</row>
    <row r="143" spans="1:28" ht="14.25" x14ac:dyDescent="0.2">
      <c r="C143" s="35" t="s">
        <v>1154</v>
      </c>
      <c r="D143" s="3"/>
      <c r="E143" s="139">
        <v>0</v>
      </c>
      <c r="F143" s="139">
        <v>0</v>
      </c>
      <c r="G143" s="140"/>
      <c r="H143" s="140"/>
      <c r="I143" s="140">
        <v>0</v>
      </c>
      <c r="J143" s="139">
        <v>0</v>
      </c>
      <c r="K143" s="139">
        <v>0</v>
      </c>
    </row>
    <row r="144" spans="1:28" ht="99.75" x14ac:dyDescent="0.2">
      <c r="A144" s="149" t="s">
        <v>139</v>
      </c>
      <c r="B144" s="149" t="s">
        <v>1407</v>
      </c>
      <c r="C144" s="145" t="s">
        <v>1155</v>
      </c>
      <c r="D144" s="3">
        <v>0.315</v>
      </c>
      <c r="E144" s="141">
        <v>519.79999999999995</v>
      </c>
      <c r="F144" s="141">
        <v>0</v>
      </c>
      <c r="G144" s="140">
        <v>164</v>
      </c>
      <c r="H144" s="140">
        <v>0</v>
      </c>
      <c r="I144" s="142">
        <v>0</v>
      </c>
      <c r="J144" s="141">
        <v>0</v>
      </c>
      <c r="K144" s="141">
        <v>0</v>
      </c>
      <c r="T144">
        <v>164</v>
      </c>
      <c r="U144">
        <v>164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</row>
    <row r="145" spans="1:28" ht="14.25" x14ac:dyDescent="0.2">
      <c r="C145" s="35" t="s">
        <v>88</v>
      </c>
      <c r="D145" s="3"/>
      <c r="E145" s="139">
        <v>0</v>
      </c>
      <c r="F145" s="139">
        <v>0</v>
      </c>
      <c r="G145" s="140"/>
      <c r="H145" s="140"/>
      <c r="I145" s="140">
        <v>0</v>
      </c>
      <c r="J145" s="139">
        <v>0</v>
      </c>
      <c r="K145" s="139">
        <v>0</v>
      </c>
    </row>
    <row r="146" spans="1:28" ht="99.75" x14ac:dyDescent="0.2">
      <c r="A146" s="149" t="s">
        <v>140</v>
      </c>
      <c r="B146" s="149" t="s">
        <v>1585</v>
      </c>
      <c r="C146" s="145" t="s">
        <v>1156</v>
      </c>
      <c r="D146" s="3">
        <v>0.68500000000000005</v>
      </c>
      <c r="E146" s="141">
        <v>1752.6</v>
      </c>
      <c r="F146" s="141">
        <v>0</v>
      </c>
      <c r="G146" s="140">
        <v>1201</v>
      </c>
      <c r="H146" s="140">
        <v>0</v>
      </c>
      <c r="I146" s="142">
        <v>0</v>
      </c>
      <c r="J146" s="141">
        <v>0</v>
      </c>
      <c r="K146" s="141">
        <v>0</v>
      </c>
      <c r="T146">
        <v>1201</v>
      </c>
      <c r="U146">
        <v>1201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</row>
    <row r="147" spans="1:28" ht="14.25" x14ac:dyDescent="0.2">
      <c r="C147" s="35" t="s">
        <v>1154</v>
      </c>
      <c r="D147" s="3"/>
      <c r="E147" s="139">
        <v>0</v>
      </c>
      <c r="F147" s="139">
        <v>0</v>
      </c>
      <c r="G147" s="140"/>
      <c r="H147" s="140"/>
      <c r="I147" s="140">
        <v>0</v>
      </c>
      <c r="J147" s="139">
        <v>0</v>
      </c>
      <c r="K147" s="139">
        <v>0</v>
      </c>
    </row>
    <row r="148" spans="1:28" x14ac:dyDescent="0.2">
      <c r="C148" s="36" t="s">
        <v>1157</v>
      </c>
    </row>
    <row r="149" spans="1:28" ht="133.5" x14ac:dyDescent="0.2">
      <c r="A149" s="149" t="s">
        <v>141</v>
      </c>
      <c r="B149" s="149" t="s">
        <v>1586</v>
      </c>
      <c r="C149" s="145" t="s">
        <v>1377</v>
      </c>
      <c r="D149" s="3">
        <v>0.27400000000000002</v>
      </c>
      <c r="E149" s="141">
        <v>2046.31</v>
      </c>
      <c r="F149" s="141">
        <v>115.97</v>
      </c>
      <c r="G149" s="140">
        <v>561</v>
      </c>
      <c r="H149" s="140">
        <v>219</v>
      </c>
      <c r="I149" s="142">
        <v>32</v>
      </c>
      <c r="J149" s="141">
        <v>85.1</v>
      </c>
      <c r="K149" s="141">
        <v>23.317399999999999</v>
      </c>
      <c r="T149">
        <v>896</v>
      </c>
      <c r="U149">
        <v>310</v>
      </c>
      <c r="V149">
        <v>219</v>
      </c>
      <c r="W149">
        <v>32</v>
      </c>
      <c r="X149">
        <v>18</v>
      </c>
      <c r="Y149">
        <v>23.317399999999999</v>
      </c>
      <c r="Z149">
        <v>1.8974500000000001</v>
      </c>
      <c r="AA149">
        <v>224</v>
      </c>
      <c r="AB149">
        <v>111</v>
      </c>
    </row>
    <row r="150" spans="1:28" ht="14.25" x14ac:dyDescent="0.2">
      <c r="C150" s="35" t="s">
        <v>97</v>
      </c>
      <c r="D150" s="3"/>
      <c r="E150" s="139">
        <v>799.94</v>
      </c>
      <c r="F150" s="139">
        <v>66.53</v>
      </c>
      <c r="G150" s="140"/>
      <c r="H150" s="140"/>
      <c r="I150" s="140">
        <v>18</v>
      </c>
      <c r="J150" s="139">
        <v>6.9249999999999998</v>
      </c>
      <c r="K150" s="139">
        <v>1.8974500000000001</v>
      </c>
    </row>
    <row r="151" spans="1:28" x14ac:dyDescent="0.2">
      <c r="C151" s="36" t="s">
        <v>1158</v>
      </c>
    </row>
    <row r="152" spans="1:28" x14ac:dyDescent="0.2">
      <c r="C152" s="20" t="s">
        <v>89</v>
      </c>
      <c r="D152" s="37">
        <v>105</v>
      </c>
      <c r="E152" s="144">
        <v>818.81415000000004</v>
      </c>
      <c r="F152" s="37" t="s">
        <v>1130</v>
      </c>
      <c r="G152" s="143">
        <v>224</v>
      </c>
      <c r="H152" s="37" t="s">
        <v>1131</v>
      </c>
      <c r="I152" s="37"/>
      <c r="J152" s="37"/>
      <c r="K152" s="37"/>
    </row>
    <row r="153" spans="1:28" x14ac:dyDescent="0.2">
      <c r="C153" s="20" t="s">
        <v>92</v>
      </c>
      <c r="D153" s="37">
        <v>55</v>
      </c>
      <c r="E153" s="144">
        <v>405.07472500000006</v>
      </c>
      <c r="F153" s="37" t="s">
        <v>1132</v>
      </c>
      <c r="G153" s="143">
        <v>111</v>
      </c>
      <c r="H153" s="37" t="s">
        <v>1133</v>
      </c>
      <c r="I153" s="37"/>
      <c r="J153" s="37"/>
      <c r="K153" s="37"/>
    </row>
    <row r="154" spans="1:28" x14ac:dyDescent="0.2">
      <c r="C154" s="20" t="s">
        <v>95</v>
      </c>
      <c r="D154" s="37"/>
      <c r="E154" s="144">
        <v>3270.198875</v>
      </c>
      <c r="F154" s="37"/>
      <c r="G154" s="143">
        <v>896</v>
      </c>
      <c r="H154" s="37"/>
      <c r="I154" s="37"/>
      <c r="J154" s="37"/>
      <c r="K154" s="37"/>
    </row>
    <row r="155" spans="1:28" ht="99.75" x14ac:dyDescent="0.2">
      <c r="A155" s="149" t="s">
        <v>142</v>
      </c>
      <c r="B155" s="149" t="s">
        <v>1587</v>
      </c>
      <c r="C155" s="145" t="s">
        <v>1588</v>
      </c>
      <c r="D155" s="3">
        <v>0.9</v>
      </c>
      <c r="E155" s="141">
        <v>246.41</v>
      </c>
      <c r="F155" s="141">
        <v>2.13</v>
      </c>
      <c r="G155" s="140">
        <v>222</v>
      </c>
      <c r="H155" s="140">
        <v>108</v>
      </c>
      <c r="I155" s="142">
        <v>2</v>
      </c>
      <c r="J155" s="141">
        <v>14.63</v>
      </c>
      <c r="K155" s="141">
        <v>13.167000000000002</v>
      </c>
      <c r="T155">
        <v>393</v>
      </c>
      <c r="U155">
        <v>112</v>
      </c>
      <c r="V155">
        <v>108</v>
      </c>
      <c r="W155">
        <v>2</v>
      </c>
      <c r="X155">
        <v>0</v>
      </c>
      <c r="Y155">
        <v>13.167000000000002</v>
      </c>
      <c r="Z155">
        <v>0</v>
      </c>
      <c r="AA155">
        <v>107</v>
      </c>
      <c r="AB155">
        <v>64</v>
      </c>
    </row>
    <row r="156" spans="1:28" ht="14.25" x14ac:dyDescent="0.2">
      <c r="C156" s="35" t="s">
        <v>88</v>
      </c>
      <c r="D156" s="3"/>
      <c r="E156" s="139">
        <v>119.53</v>
      </c>
      <c r="F156" s="139">
        <v>0</v>
      </c>
      <c r="G156" s="140"/>
      <c r="H156" s="140"/>
      <c r="I156" s="140">
        <v>0</v>
      </c>
      <c r="J156" s="139">
        <v>0</v>
      </c>
      <c r="K156" s="139">
        <v>0</v>
      </c>
    </row>
    <row r="157" spans="1:28" x14ac:dyDescent="0.2">
      <c r="C157" s="36" t="s">
        <v>1159</v>
      </c>
    </row>
    <row r="158" spans="1:28" x14ac:dyDescent="0.2">
      <c r="C158" s="20" t="s">
        <v>89</v>
      </c>
      <c r="D158" s="37">
        <v>110</v>
      </c>
      <c r="E158" s="144">
        <v>118.3347</v>
      </c>
      <c r="F158" s="37" t="s">
        <v>90</v>
      </c>
      <c r="G158" s="143">
        <v>107</v>
      </c>
      <c r="H158" s="37" t="s">
        <v>91</v>
      </c>
      <c r="I158" s="37"/>
      <c r="J158" s="37"/>
      <c r="K158" s="37"/>
    </row>
    <row r="159" spans="1:28" x14ac:dyDescent="0.2">
      <c r="C159" s="20" t="s">
        <v>92</v>
      </c>
      <c r="D159" s="37">
        <v>70</v>
      </c>
      <c r="E159" s="144">
        <v>71.120350000000002</v>
      </c>
      <c r="F159" s="37" t="s">
        <v>93</v>
      </c>
      <c r="G159" s="143">
        <v>64</v>
      </c>
      <c r="H159" s="37" t="s">
        <v>94</v>
      </c>
      <c r="I159" s="37"/>
      <c r="J159" s="37"/>
      <c r="K159" s="37"/>
    </row>
    <row r="160" spans="1:28" x14ac:dyDescent="0.2">
      <c r="C160" s="20" t="s">
        <v>95</v>
      </c>
      <c r="D160" s="37"/>
      <c r="E160" s="144">
        <v>435.86505</v>
      </c>
      <c r="F160" s="37"/>
      <c r="G160" s="143">
        <v>393</v>
      </c>
      <c r="H160" s="37"/>
      <c r="I160" s="37"/>
      <c r="J160" s="37"/>
      <c r="K160" s="37"/>
    </row>
    <row r="161" spans="1:28" ht="14.25" x14ac:dyDescent="0.2">
      <c r="A161" s="149" t="s">
        <v>1589</v>
      </c>
      <c r="B161" s="149" t="s">
        <v>1146</v>
      </c>
      <c r="C161" s="145" t="s">
        <v>1161</v>
      </c>
      <c r="D161" s="3">
        <v>0.36000000000000004</v>
      </c>
      <c r="E161" s="141">
        <v>0</v>
      </c>
      <c r="F161" s="141">
        <v>0</v>
      </c>
      <c r="G161" s="140">
        <v>0</v>
      </c>
      <c r="H161" s="140">
        <v>0</v>
      </c>
      <c r="I161" s="142">
        <v>0</v>
      </c>
      <c r="J161" s="141">
        <v>0</v>
      </c>
      <c r="K161" s="14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</row>
    <row r="162" spans="1:28" ht="14.25" x14ac:dyDescent="0.2">
      <c r="C162" s="35" t="s">
        <v>1154</v>
      </c>
      <c r="D162" s="3"/>
      <c r="E162" s="139">
        <v>0</v>
      </c>
      <c r="F162" s="139">
        <v>0</v>
      </c>
      <c r="G162" s="140"/>
      <c r="H162" s="140"/>
      <c r="I162" s="140">
        <v>0</v>
      </c>
      <c r="J162" s="139">
        <v>0</v>
      </c>
      <c r="K162" s="139">
        <v>0</v>
      </c>
    </row>
    <row r="163" spans="1:28" ht="99.75" x14ac:dyDescent="0.2">
      <c r="A163" s="149" t="s">
        <v>143</v>
      </c>
      <c r="B163" s="149" t="s">
        <v>1585</v>
      </c>
      <c r="C163" s="145" t="s">
        <v>1156</v>
      </c>
      <c r="D163" s="3">
        <v>0.36</v>
      </c>
      <c r="E163" s="141">
        <v>1752.6</v>
      </c>
      <c r="F163" s="141">
        <v>0</v>
      </c>
      <c r="G163" s="140">
        <v>631</v>
      </c>
      <c r="H163" s="140">
        <v>0</v>
      </c>
      <c r="I163" s="142">
        <v>0</v>
      </c>
      <c r="J163" s="141">
        <v>0</v>
      </c>
      <c r="K163" s="141">
        <v>0</v>
      </c>
      <c r="T163">
        <v>631</v>
      </c>
      <c r="U163">
        <v>631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</row>
    <row r="164" spans="1:28" ht="14.25" x14ac:dyDescent="0.2">
      <c r="C164" s="35" t="s">
        <v>1154</v>
      </c>
      <c r="D164" s="3"/>
      <c r="E164" s="139">
        <v>0</v>
      </c>
      <c r="F164" s="139">
        <v>0</v>
      </c>
      <c r="G164" s="140"/>
      <c r="H164" s="140"/>
      <c r="I164" s="140">
        <v>0</v>
      </c>
      <c r="J164" s="139">
        <v>0</v>
      </c>
      <c r="K164" s="139">
        <v>0</v>
      </c>
    </row>
    <row r="165" spans="1:28" x14ac:dyDescent="0.2">
      <c r="C165" s="36" t="s">
        <v>1162</v>
      </c>
    </row>
    <row r="166" spans="1:28" ht="133.5" x14ac:dyDescent="0.2">
      <c r="A166" s="149" t="s">
        <v>144</v>
      </c>
      <c r="B166" s="149" t="s">
        <v>1586</v>
      </c>
      <c r="C166" s="145" t="s">
        <v>1377</v>
      </c>
      <c r="D166" s="3">
        <v>3.4000000000000002E-2</v>
      </c>
      <c r="E166" s="141">
        <v>2046.31</v>
      </c>
      <c r="F166" s="141">
        <v>115.97</v>
      </c>
      <c r="G166" s="140">
        <v>69</v>
      </c>
      <c r="H166" s="140">
        <v>27</v>
      </c>
      <c r="I166" s="142">
        <v>4</v>
      </c>
      <c r="J166" s="141">
        <v>85.1</v>
      </c>
      <c r="K166" s="141">
        <v>2.8934000000000002</v>
      </c>
      <c r="T166">
        <v>110</v>
      </c>
      <c r="U166">
        <v>38</v>
      </c>
      <c r="V166">
        <v>27</v>
      </c>
      <c r="W166">
        <v>4</v>
      </c>
      <c r="X166">
        <v>2</v>
      </c>
      <c r="Y166">
        <v>2.8934000000000002</v>
      </c>
      <c r="Z166">
        <v>0.23545000000000002</v>
      </c>
      <c r="AA166">
        <v>27</v>
      </c>
      <c r="AB166">
        <v>14</v>
      </c>
    </row>
    <row r="167" spans="1:28" ht="14.25" x14ac:dyDescent="0.2">
      <c r="C167" s="35" t="s">
        <v>97</v>
      </c>
      <c r="D167" s="3"/>
      <c r="E167" s="139">
        <v>799.94</v>
      </c>
      <c r="F167" s="139">
        <v>66.53</v>
      </c>
      <c r="G167" s="140"/>
      <c r="H167" s="140"/>
      <c r="I167" s="140">
        <v>2</v>
      </c>
      <c r="J167" s="139">
        <v>6.9249999999999998</v>
      </c>
      <c r="K167" s="139">
        <v>0.23545000000000002</v>
      </c>
    </row>
    <row r="168" spans="1:28" x14ac:dyDescent="0.2">
      <c r="C168" s="36" t="s">
        <v>1163</v>
      </c>
    </row>
    <row r="169" spans="1:28" x14ac:dyDescent="0.2">
      <c r="C169" s="20" t="s">
        <v>89</v>
      </c>
      <c r="D169" s="37">
        <v>105</v>
      </c>
      <c r="E169" s="144">
        <v>818.81415000000004</v>
      </c>
      <c r="F169" s="37" t="s">
        <v>1130</v>
      </c>
      <c r="G169" s="143">
        <v>27</v>
      </c>
      <c r="H169" s="37" t="s">
        <v>1131</v>
      </c>
      <c r="I169" s="37"/>
      <c r="J169" s="37"/>
      <c r="K169" s="37"/>
    </row>
    <row r="170" spans="1:28" x14ac:dyDescent="0.2">
      <c r="C170" s="20" t="s">
        <v>92</v>
      </c>
      <c r="D170" s="37">
        <v>55</v>
      </c>
      <c r="E170" s="144">
        <v>405.07472500000006</v>
      </c>
      <c r="F170" s="37" t="s">
        <v>1132</v>
      </c>
      <c r="G170" s="143">
        <v>14</v>
      </c>
      <c r="H170" s="37" t="s">
        <v>1133</v>
      </c>
      <c r="I170" s="37"/>
      <c r="J170" s="37"/>
      <c r="K170" s="37"/>
    </row>
    <row r="171" spans="1:28" x14ac:dyDescent="0.2">
      <c r="C171" s="20" t="s">
        <v>95</v>
      </c>
      <c r="D171" s="37"/>
      <c r="E171" s="144">
        <v>3270.198875</v>
      </c>
      <c r="F171" s="37"/>
      <c r="G171" s="143">
        <v>110</v>
      </c>
      <c r="H171" s="37"/>
      <c r="I171" s="37"/>
      <c r="J171" s="37"/>
      <c r="K171" s="37"/>
    </row>
    <row r="173" spans="1:28" ht="15" x14ac:dyDescent="0.25">
      <c r="A173" s="4"/>
      <c r="B173" s="4"/>
      <c r="C173" s="187" t="s">
        <v>1164</v>
      </c>
      <c r="D173" s="187"/>
      <c r="E173" s="187"/>
      <c r="F173" s="187"/>
      <c r="G173" s="136">
        <f>IF(SUM(T133:T172)=0, "-", SUM(T133:T172))</f>
        <v>4121</v>
      </c>
      <c r="H173" s="136">
        <f>IF(SUM(V133:V172)=0, "-", SUM(V133:V172))</f>
        <v>546</v>
      </c>
      <c r="I173" s="138">
        <f>IF(SUM(W133:W172)=0, "-", SUM(W133:W172))</f>
        <v>100</v>
      </c>
      <c r="J173" s="136"/>
      <c r="K173" s="137">
        <f>IF(SUM(Y133:Y172)=0, "-", SUM(Y133:Y172))</f>
        <v>61.907449999999997</v>
      </c>
    </row>
    <row r="174" spans="1:28" ht="15" x14ac:dyDescent="0.25">
      <c r="A174" s="4"/>
      <c r="B174" s="4"/>
      <c r="C174" s="4"/>
      <c r="D174" s="4"/>
      <c r="E174" s="4"/>
      <c r="F174" s="4"/>
      <c r="G174" s="136"/>
      <c r="H174" s="136"/>
      <c r="I174" s="136">
        <f>IF(SUM(X133:X172)=0, "-", SUM(X133:X172))</f>
        <v>30</v>
      </c>
      <c r="J174" s="136"/>
      <c r="K174" s="135">
        <f>IF(SUM(Z133:Z172)=0, "-", SUM(Z133:Z172))</f>
        <v>2.8538625000000004</v>
      </c>
    </row>
    <row r="177" spans="1:28" ht="14.25" x14ac:dyDescent="0.2">
      <c r="C177" s="183" t="s">
        <v>127</v>
      </c>
      <c r="D177" s="183"/>
      <c r="E177" s="183"/>
      <c r="F177" s="183"/>
      <c r="G177" s="183"/>
      <c r="H177" s="172">
        <v>546</v>
      </c>
      <c r="I177" s="172"/>
    </row>
    <row r="178" spans="1:28" ht="14.25" x14ac:dyDescent="0.2">
      <c r="C178" s="183" t="s">
        <v>128</v>
      </c>
      <c r="D178" s="183"/>
      <c r="E178" s="183"/>
      <c r="F178" s="183"/>
      <c r="G178" s="183"/>
      <c r="H178" s="172">
        <v>100</v>
      </c>
      <c r="I178" s="172"/>
    </row>
    <row r="179" spans="1:28" ht="14.25" x14ac:dyDescent="0.2">
      <c r="C179" s="183" t="s">
        <v>129</v>
      </c>
      <c r="D179" s="183"/>
      <c r="E179" s="183"/>
      <c r="F179" s="183"/>
      <c r="G179" s="183"/>
      <c r="H179" s="172">
        <v>2569</v>
      </c>
      <c r="I179" s="172"/>
    </row>
    <row r="180" spans="1:28" ht="14.25" x14ac:dyDescent="0.2">
      <c r="C180" s="183" t="s">
        <v>130</v>
      </c>
      <c r="D180" s="183"/>
      <c r="E180" s="183"/>
      <c r="F180" s="183"/>
      <c r="G180" s="183"/>
      <c r="H180" s="172">
        <v>580</v>
      </c>
      <c r="I180" s="172"/>
    </row>
    <row r="181" spans="1:28" ht="14.25" x14ac:dyDescent="0.2">
      <c r="C181" s="183" t="s">
        <v>131</v>
      </c>
      <c r="D181" s="183"/>
      <c r="E181" s="183"/>
      <c r="F181" s="183"/>
      <c r="G181" s="183"/>
      <c r="H181" s="172">
        <v>326</v>
      </c>
      <c r="I181" s="172"/>
    </row>
    <row r="182" spans="1:28" ht="14.25" x14ac:dyDescent="0.2">
      <c r="C182" s="183" t="s">
        <v>134</v>
      </c>
      <c r="D182" s="183"/>
      <c r="E182" s="183"/>
      <c r="F182" s="183"/>
      <c r="G182" s="183"/>
      <c r="H182" s="172">
        <v>4121</v>
      </c>
      <c r="I182" s="172"/>
    </row>
    <row r="184" spans="1:28" ht="16.5" x14ac:dyDescent="0.25">
      <c r="A184" s="186" t="s">
        <v>1165</v>
      </c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</row>
    <row r="185" spans="1:28" ht="105" x14ac:dyDescent="0.2">
      <c r="A185" s="149" t="s">
        <v>152</v>
      </c>
      <c r="B185" s="149" t="s">
        <v>1543</v>
      </c>
      <c r="C185" s="145" t="s">
        <v>1122</v>
      </c>
      <c r="D185" s="3">
        <v>9.86</v>
      </c>
      <c r="E185" s="141">
        <v>71.11</v>
      </c>
      <c r="F185" s="141">
        <v>18.010000000000002</v>
      </c>
      <c r="G185" s="140">
        <v>702</v>
      </c>
      <c r="H185" s="140">
        <v>270</v>
      </c>
      <c r="I185" s="142">
        <v>178</v>
      </c>
      <c r="J185" s="141">
        <v>2.76</v>
      </c>
      <c r="K185" s="141">
        <v>27.213599999999996</v>
      </c>
      <c r="T185">
        <v>1152</v>
      </c>
      <c r="U185">
        <v>254</v>
      </c>
      <c r="V185">
        <v>270</v>
      </c>
      <c r="W185">
        <v>178</v>
      </c>
      <c r="X185">
        <v>24</v>
      </c>
      <c r="Y185">
        <v>27.213599999999996</v>
      </c>
      <c r="Z185">
        <v>2.0952500000000001</v>
      </c>
      <c r="AA185">
        <v>238</v>
      </c>
      <c r="AB185">
        <v>212</v>
      </c>
    </row>
    <row r="186" spans="1:28" ht="14.25" x14ac:dyDescent="0.2">
      <c r="C186" s="35" t="s">
        <v>117</v>
      </c>
      <c r="D186" s="3"/>
      <c r="E186" s="139">
        <v>27.38</v>
      </c>
      <c r="F186" s="139">
        <v>2.46</v>
      </c>
      <c r="G186" s="140"/>
      <c r="H186" s="140"/>
      <c r="I186" s="140">
        <v>24</v>
      </c>
      <c r="J186" s="139">
        <v>0.21250000000000002</v>
      </c>
      <c r="K186" s="139">
        <v>2.0952500000000001</v>
      </c>
    </row>
    <row r="187" spans="1:28" ht="25.5" x14ac:dyDescent="0.2">
      <c r="C187" s="36" t="s">
        <v>1166</v>
      </c>
    </row>
    <row r="188" spans="1:28" x14ac:dyDescent="0.2">
      <c r="C188" s="20" t="s">
        <v>89</v>
      </c>
      <c r="D188" s="37">
        <v>90</v>
      </c>
      <c r="E188" s="144">
        <v>24.170400000000001</v>
      </c>
      <c r="F188" s="37" t="s">
        <v>101</v>
      </c>
      <c r="G188" s="143">
        <v>238</v>
      </c>
      <c r="H188" s="37" t="s">
        <v>102</v>
      </c>
      <c r="I188" s="37"/>
      <c r="J188" s="37"/>
      <c r="K188" s="37"/>
    </row>
    <row r="189" spans="1:28" x14ac:dyDescent="0.2">
      <c r="C189" s="20" t="s">
        <v>92</v>
      </c>
      <c r="D189" s="37">
        <v>85</v>
      </c>
      <c r="E189" s="144">
        <v>21.5594</v>
      </c>
      <c r="F189" s="37" t="s">
        <v>103</v>
      </c>
      <c r="G189" s="143">
        <v>212</v>
      </c>
      <c r="H189" s="37" t="s">
        <v>104</v>
      </c>
      <c r="I189" s="37"/>
      <c r="J189" s="37"/>
      <c r="K189" s="37"/>
    </row>
    <row r="190" spans="1:28" x14ac:dyDescent="0.2">
      <c r="C190" s="20" t="s">
        <v>95</v>
      </c>
      <c r="D190" s="37"/>
      <c r="E190" s="144">
        <v>116.8398</v>
      </c>
      <c r="F190" s="37"/>
      <c r="G190" s="143">
        <v>1152</v>
      </c>
      <c r="H190" s="37"/>
      <c r="I190" s="37"/>
      <c r="J190" s="37"/>
      <c r="K190" s="37"/>
    </row>
    <row r="191" spans="1:28" ht="14.25" x14ac:dyDescent="0.2">
      <c r="A191" s="149" t="s">
        <v>361</v>
      </c>
      <c r="B191" s="149" t="s">
        <v>1146</v>
      </c>
      <c r="C191" s="145" t="s">
        <v>1167</v>
      </c>
      <c r="D191" s="3">
        <v>9.86</v>
      </c>
      <c r="E191" s="141">
        <v>0</v>
      </c>
      <c r="F191" s="141">
        <v>0</v>
      </c>
      <c r="G191" s="140">
        <v>0</v>
      </c>
      <c r="H191" s="140">
        <v>0</v>
      </c>
      <c r="I191" s="142">
        <v>0</v>
      </c>
      <c r="J191" s="141">
        <v>0</v>
      </c>
      <c r="K191" s="14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</row>
    <row r="192" spans="1:28" ht="14.25" x14ac:dyDescent="0.2">
      <c r="C192" s="35" t="s">
        <v>117</v>
      </c>
      <c r="D192" s="3"/>
      <c r="E192" s="139">
        <v>0</v>
      </c>
      <c r="F192" s="139">
        <v>0</v>
      </c>
      <c r="G192" s="140"/>
      <c r="H192" s="140"/>
      <c r="I192" s="140">
        <v>0</v>
      </c>
      <c r="J192" s="139">
        <v>0</v>
      </c>
      <c r="K192" s="139">
        <v>0</v>
      </c>
    </row>
    <row r="193" spans="1:28" ht="99.75" x14ac:dyDescent="0.2">
      <c r="A193" s="149" t="s">
        <v>154</v>
      </c>
      <c r="B193" s="149" t="s">
        <v>1544</v>
      </c>
      <c r="C193" s="145" t="s">
        <v>1168</v>
      </c>
      <c r="D193" s="3">
        <v>5</v>
      </c>
      <c r="E193" s="141">
        <v>114.25</v>
      </c>
      <c r="F193" s="141">
        <v>0</v>
      </c>
      <c r="G193" s="140">
        <v>571</v>
      </c>
      <c r="H193" s="140">
        <v>0</v>
      </c>
      <c r="I193" s="142">
        <v>0</v>
      </c>
      <c r="J193" s="141">
        <v>0</v>
      </c>
      <c r="K193" s="141">
        <v>0</v>
      </c>
      <c r="T193">
        <v>571</v>
      </c>
      <c r="U193">
        <v>571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</row>
    <row r="194" spans="1:28" ht="14.25" x14ac:dyDescent="0.2">
      <c r="C194" s="35" t="s">
        <v>153</v>
      </c>
      <c r="D194" s="3"/>
      <c r="E194" s="139">
        <v>0</v>
      </c>
      <c r="F194" s="139">
        <v>0</v>
      </c>
      <c r="G194" s="140"/>
      <c r="H194" s="140"/>
      <c r="I194" s="140">
        <v>0</v>
      </c>
      <c r="J194" s="139">
        <v>0</v>
      </c>
      <c r="K194" s="139">
        <v>0</v>
      </c>
    </row>
    <row r="195" spans="1:28" ht="99.75" x14ac:dyDescent="0.2">
      <c r="A195" s="149" t="s">
        <v>155</v>
      </c>
      <c r="B195" s="149" t="s">
        <v>1545</v>
      </c>
      <c r="C195" s="145" t="s">
        <v>1169</v>
      </c>
      <c r="D195" s="3">
        <v>5.52</v>
      </c>
      <c r="E195" s="141">
        <v>1799.14</v>
      </c>
      <c r="F195" s="141">
        <v>0</v>
      </c>
      <c r="G195" s="140">
        <v>9931</v>
      </c>
      <c r="H195" s="140">
        <v>0</v>
      </c>
      <c r="I195" s="142">
        <v>0</v>
      </c>
      <c r="J195" s="141">
        <v>0</v>
      </c>
      <c r="K195" s="141">
        <v>0</v>
      </c>
      <c r="T195">
        <v>9931</v>
      </c>
      <c r="U195">
        <v>9931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</row>
    <row r="196" spans="1:28" ht="14.25" x14ac:dyDescent="0.2">
      <c r="C196" s="35" t="s">
        <v>117</v>
      </c>
      <c r="D196" s="3"/>
      <c r="E196" s="139">
        <v>0</v>
      </c>
      <c r="F196" s="139">
        <v>0</v>
      </c>
      <c r="G196" s="140"/>
      <c r="H196" s="140"/>
      <c r="I196" s="140">
        <v>0</v>
      </c>
      <c r="J196" s="139">
        <v>0</v>
      </c>
      <c r="K196" s="139">
        <v>0</v>
      </c>
    </row>
    <row r="197" spans="1:28" x14ac:dyDescent="0.2">
      <c r="C197" s="36" t="s">
        <v>1170</v>
      </c>
    </row>
    <row r="198" spans="1:28" ht="99.75" x14ac:dyDescent="0.2">
      <c r="A198" s="149" t="s">
        <v>156</v>
      </c>
      <c r="B198" s="149" t="s">
        <v>1546</v>
      </c>
      <c r="C198" s="145" t="s">
        <v>1171</v>
      </c>
      <c r="D198" s="3">
        <v>4.34</v>
      </c>
      <c r="E198" s="141">
        <v>1465.11</v>
      </c>
      <c r="F198" s="141">
        <v>0</v>
      </c>
      <c r="G198" s="140">
        <v>6359</v>
      </c>
      <c r="H198" s="140">
        <v>0</v>
      </c>
      <c r="I198" s="142">
        <v>0</v>
      </c>
      <c r="J198" s="141">
        <v>0</v>
      </c>
      <c r="K198" s="141">
        <v>0</v>
      </c>
      <c r="T198">
        <v>6359</v>
      </c>
      <c r="U198">
        <v>6359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</row>
    <row r="199" spans="1:28" ht="14.25" x14ac:dyDescent="0.2">
      <c r="C199" s="35" t="s">
        <v>117</v>
      </c>
      <c r="D199" s="3"/>
      <c r="E199" s="139">
        <v>0</v>
      </c>
      <c r="F199" s="139">
        <v>0</v>
      </c>
      <c r="G199" s="140"/>
      <c r="H199" s="140"/>
      <c r="I199" s="140">
        <v>0</v>
      </c>
      <c r="J199" s="139">
        <v>0</v>
      </c>
      <c r="K199" s="139">
        <v>0</v>
      </c>
    </row>
    <row r="200" spans="1:28" x14ac:dyDescent="0.2">
      <c r="C200" s="36" t="s">
        <v>1172</v>
      </c>
    </row>
    <row r="201" spans="1:28" ht="119.25" x14ac:dyDescent="0.2">
      <c r="A201" s="149" t="s">
        <v>159</v>
      </c>
      <c r="B201" s="149" t="s">
        <v>1547</v>
      </c>
      <c r="C201" s="145" t="s">
        <v>1376</v>
      </c>
      <c r="D201" s="3">
        <v>0.03</v>
      </c>
      <c r="E201" s="141">
        <v>3989.21</v>
      </c>
      <c r="F201" s="141">
        <v>3020.02</v>
      </c>
      <c r="G201" s="140">
        <v>120</v>
      </c>
      <c r="H201" s="140">
        <v>14</v>
      </c>
      <c r="I201" s="142">
        <v>91</v>
      </c>
      <c r="J201" s="141">
        <v>47.609999999999992</v>
      </c>
      <c r="K201" s="141">
        <v>1.4282999999999997</v>
      </c>
      <c r="T201">
        <v>149</v>
      </c>
      <c r="U201">
        <v>15</v>
      </c>
      <c r="V201">
        <v>14</v>
      </c>
      <c r="W201">
        <v>91</v>
      </c>
      <c r="X201">
        <v>5</v>
      </c>
      <c r="Y201">
        <v>1.4282999999999997</v>
      </c>
      <c r="Z201">
        <v>0.33262499999999995</v>
      </c>
      <c r="AA201">
        <v>15</v>
      </c>
      <c r="AB201">
        <v>14</v>
      </c>
    </row>
    <row r="202" spans="1:28" ht="14.25" x14ac:dyDescent="0.2">
      <c r="C202" s="35" t="s">
        <v>99</v>
      </c>
      <c r="D202" s="3"/>
      <c r="E202" s="139">
        <v>478.95</v>
      </c>
      <c r="F202" s="139">
        <v>154.81</v>
      </c>
      <c r="G202" s="140"/>
      <c r="H202" s="140"/>
      <c r="I202" s="140">
        <v>5</v>
      </c>
      <c r="J202" s="139">
        <v>11.087499999999999</v>
      </c>
      <c r="K202" s="139">
        <v>0.33262499999999995</v>
      </c>
    </row>
    <row r="203" spans="1:28" x14ac:dyDescent="0.2">
      <c r="C203" s="36" t="s">
        <v>157</v>
      </c>
    </row>
    <row r="204" spans="1:28" x14ac:dyDescent="0.2">
      <c r="C204" s="20" t="s">
        <v>89</v>
      </c>
      <c r="D204" s="37">
        <v>90</v>
      </c>
      <c r="E204" s="144">
        <v>513.34559999999999</v>
      </c>
      <c r="F204" s="37" t="s">
        <v>101</v>
      </c>
      <c r="G204" s="143">
        <v>15</v>
      </c>
      <c r="H204" s="37" t="s">
        <v>102</v>
      </c>
      <c r="I204" s="37"/>
      <c r="J204" s="37"/>
      <c r="K204" s="37"/>
    </row>
    <row r="205" spans="1:28" x14ac:dyDescent="0.2">
      <c r="C205" s="20" t="s">
        <v>92</v>
      </c>
      <c r="D205" s="37">
        <v>85</v>
      </c>
      <c r="E205" s="144">
        <v>457.89159999999998</v>
      </c>
      <c r="F205" s="37" t="s">
        <v>103</v>
      </c>
      <c r="G205" s="143">
        <v>14</v>
      </c>
      <c r="H205" s="37" t="s">
        <v>104</v>
      </c>
      <c r="I205" s="37"/>
      <c r="J205" s="37"/>
      <c r="K205" s="37"/>
    </row>
    <row r="206" spans="1:28" x14ac:dyDescent="0.2">
      <c r="C206" s="20" t="s">
        <v>95</v>
      </c>
      <c r="D206" s="37"/>
      <c r="E206" s="144">
        <v>4960.4472000000005</v>
      </c>
      <c r="F206" s="37"/>
      <c r="G206" s="143">
        <v>149</v>
      </c>
      <c r="H206" s="37"/>
      <c r="I206" s="37"/>
      <c r="J206" s="37"/>
      <c r="K206" s="37"/>
    </row>
    <row r="207" spans="1:28" ht="14.25" x14ac:dyDescent="0.2">
      <c r="A207" s="149" t="s">
        <v>1548</v>
      </c>
      <c r="B207" s="149" t="s">
        <v>1146</v>
      </c>
      <c r="C207" s="145" t="s">
        <v>147</v>
      </c>
      <c r="D207" s="3">
        <v>0.03</v>
      </c>
      <c r="E207" s="141">
        <v>0</v>
      </c>
      <c r="F207" s="141">
        <v>0</v>
      </c>
      <c r="G207" s="140">
        <v>0</v>
      </c>
      <c r="H207" s="140">
        <v>0</v>
      </c>
      <c r="I207" s="142">
        <v>0</v>
      </c>
      <c r="J207" s="141">
        <v>0</v>
      </c>
      <c r="K207" s="141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</row>
    <row r="208" spans="1:28" ht="14.25" x14ac:dyDescent="0.2">
      <c r="C208" s="35" t="s">
        <v>99</v>
      </c>
      <c r="D208" s="3"/>
      <c r="E208" s="139">
        <v>0</v>
      </c>
      <c r="F208" s="139">
        <v>0</v>
      </c>
      <c r="G208" s="140"/>
      <c r="H208" s="140"/>
      <c r="I208" s="140">
        <v>0</v>
      </c>
      <c r="J208" s="139">
        <v>0</v>
      </c>
      <c r="K208" s="139">
        <v>0</v>
      </c>
    </row>
    <row r="209" spans="1:28" ht="99.75" x14ac:dyDescent="0.2">
      <c r="A209" s="149" t="s">
        <v>160</v>
      </c>
      <c r="B209" s="149" t="s">
        <v>1549</v>
      </c>
      <c r="C209" s="145" t="s">
        <v>1550</v>
      </c>
      <c r="D209" s="3">
        <v>2</v>
      </c>
      <c r="E209" s="141">
        <v>11474.56</v>
      </c>
      <c r="F209" s="141">
        <v>0</v>
      </c>
      <c r="G209" s="140">
        <v>22949</v>
      </c>
      <c r="H209" s="140">
        <v>0</v>
      </c>
      <c r="I209" s="142">
        <v>0</v>
      </c>
      <c r="J209" s="141">
        <v>0</v>
      </c>
      <c r="K209" s="141">
        <v>0</v>
      </c>
      <c r="T209">
        <v>22949</v>
      </c>
      <c r="U209">
        <v>22949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</row>
    <row r="210" spans="1:28" ht="14.25" x14ac:dyDescent="0.2">
      <c r="C210" s="35" t="s">
        <v>158</v>
      </c>
      <c r="D210" s="3"/>
      <c r="E210" s="139">
        <v>0</v>
      </c>
      <c r="F210" s="139">
        <v>0</v>
      </c>
      <c r="G210" s="140"/>
      <c r="H210" s="140"/>
      <c r="I210" s="140">
        <v>0</v>
      </c>
      <c r="J210" s="139">
        <v>0</v>
      </c>
      <c r="K210" s="139">
        <v>0</v>
      </c>
    </row>
    <row r="211" spans="1:28" ht="99.75" x14ac:dyDescent="0.2">
      <c r="A211" s="149" t="s">
        <v>161</v>
      </c>
      <c r="B211" s="149" t="s">
        <v>1551</v>
      </c>
      <c r="C211" s="145" t="s">
        <v>1552</v>
      </c>
      <c r="D211" s="3">
        <v>1</v>
      </c>
      <c r="E211" s="141">
        <v>8948.2999999999993</v>
      </c>
      <c r="F211" s="141">
        <v>0</v>
      </c>
      <c r="G211" s="140">
        <v>8948</v>
      </c>
      <c r="H211" s="140">
        <v>0</v>
      </c>
      <c r="I211" s="142">
        <v>0</v>
      </c>
      <c r="J211" s="141">
        <v>0</v>
      </c>
      <c r="K211" s="141">
        <v>0</v>
      </c>
      <c r="T211">
        <v>8948</v>
      </c>
      <c r="U211">
        <v>8948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</row>
    <row r="212" spans="1:28" ht="14.25" x14ac:dyDescent="0.2">
      <c r="C212" s="35" t="s">
        <v>158</v>
      </c>
      <c r="D212" s="3"/>
      <c r="E212" s="139">
        <v>0</v>
      </c>
      <c r="F212" s="139">
        <v>0</v>
      </c>
      <c r="G212" s="140"/>
      <c r="H212" s="140"/>
      <c r="I212" s="140">
        <v>0</v>
      </c>
      <c r="J212" s="139">
        <v>0</v>
      </c>
      <c r="K212" s="139">
        <v>0</v>
      </c>
    </row>
    <row r="213" spans="1:28" ht="105" x14ac:dyDescent="0.2">
      <c r="A213" s="149" t="s">
        <v>162</v>
      </c>
      <c r="B213" s="149" t="s">
        <v>1553</v>
      </c>
      <c r="C213" s="145" t="s">
        <v>1375</v>
      </c>
      <c r="D213" s="3">
        <v>0.252</v>
      </c>
      <c r="E213" s="141">
        <v>1533.49</v>
      </c>
      <c r="F213" s="141">
        <v>70.77</v>
      </c>
      <c r="G213" s="140">
        <v>387</v>
      </c>
      <c r="H213" s="140">
        <v>369</v>
      </c>
      <c r="I213" s="142">
        <v>18</v>
      </c>
      <c r="J213" s="141">
        <v>137.34450000000001</v>
      </c>
      <c r="K213" s="141">
        <v>34.610814000000005</v>
      </c>
      <c r="T213">
        <v>957</v>
      </c>
      <c r="U213">
        <v>0</v>
      </c>
      <c r="V213">
        <v>369</v>
      </c>
      <c r="W213">
        <v>18</v>
      </c>
      <c r="X213">
        <v>3</v>
      </c>
      <c r="Y213">
        <v>34.610814000000005</v>
      </c>
      <c r="Z213">
        <v>0.21420000000000003</v>
      </c>
      <c r="AA213">
        <v>301</v>
      </c>
      <c r="AB213">
        <v>269</v>
      </c>
    </row>
    <row r="214" spans="1:28" ht="14.25" x14ac:dyDescent="0.2">
      <c r="C214" s="35" t="s">
        <v>97</v>
      </c>
      <c r="D214" s="3"/>
      <c r="E214" s="139">
        <v>1462.72</v>
      </c>
      <c r="F214" s="139">
        <v>10.43</v>
      </c>
      <c r="G214" s="140"/>
      <c r="H214" s="140"/>
      <c r="I214" s="140">
        <v>3</v>
      </c>
      <c r="J214" s="139">
        <v>0.85000000000000009</v>
      </c>
      <c r="K214" s="139">
        <v>0.21420000000000003</v>
      </c>
    </row>
    <row r="215" spans="1:28" x14ac:dyDescent="0.2">
      <c r="C215" s="36" t="s">
        <v>1174</v>
      </c>
    </row>
    <row r="216" spans="1:28" x14ac:dyDescent="0.2">
      <c r="C216" s="20" t="s">
        <v>89</v>
      </c>
      <c r="D216" s="37">
        <v>90</v>
      </c>
      <c r="E216" s="144">
        <v>1193.2515000000001</v>
      </c>
      <c r="F216" s="37" t="s">
        <v>101</v>
      </c>
      <c r="G216" s="143">
        <v>301</v>
      </c>
      <c r="H216" s="37" t="s">
        <v>102</v>
      </c>
      <c r="I216" s="37"/>
      <c r="J216" s="37"/>
      <c r="K216" s="37"/>
    </row>
    <row r="217" spans="1:28" x14ac:dyDescent="0.2">
      <c r="C217" s="20" t="s">
        <v>92</v>
      </c>
      <c r="D217" s="37">
        <v>85</v>
      </c>
      <c r="E217" s="144">
        <v>1064.3508750000001</v>
      </c>
      <c r="F217" s="37" t="s">
        <v>103</v>
      </c>
      <c r="G217" s="143">
        <v>269</v>
      </c>
      <c r="H217" s="37" t="s">
        <v>104</v>
      </c>
      <c r="I217" s="37"/>
      <c r="J217" s="37"/>
      <c r="K217" s="37"/>
    </row>
    <row r="218" spans="1:28" x14ac:dyDescent="0.2">
      <c r="C218" s="20" t="s">
        <v>95</v>
      </c>
      <c r="D218" s="37"/>
      <c r="E218" s="144">
        <v>3791.0923750000002</v>
      </c>
      <c r="F218" s="37"/>
      <c r="G218" s="143">
        <v>957</v>
      </c>
      <c r="H218" s="37"/>
      <c r="I218" s="37"/>
      <c r="J218" s="37"/>
      <c r="K218" s="37"/>
    </row>
    <row r="219" spans="1:28" ht="99.75" x14ac:dyDescent="0.2">
      <c r="A219" s="149" t="s">
        <v>163</v>
      </c>
      <c r="B219" s="149" t="s">
        <v>1554</v>
      </c>
      <c r="C219" s="145" t="s">
        <v>1555</v>
      </c>
      <c r="D219" s="3">
        <v>3</v>
      </c>
      <c r="E219" s="141">
        <v>10355.99</v>
      </c>
      <c r="F219" s="141">
        <v>0</v>
      </c>
      <c r="G219" s="140">
        <v>31068</v>
      </c>
      <c r="H219" s="140">
        <v>0</v>
      </c>
      <c r="I219" s="142">
        <v>0</v>
      </c>
      <c r="J219" s="141">
        <v>0</v>
      </c>
      <c r="K219" s="141">
        <v>0</v>
      </c>
      <c r="T219">
        <v>31068</v>
      </c>
      <c r="U219">
        <v>31068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</row>
    <row r="220" spans="1:28" ht="14.25" x14ac:dyDescent="0.2">
      <c r="C220" s="35" t="s">
        <v>158</v>
      </c>
      <c r="D220" s="3"/>
      <c r="E220" s="139">
        <v>0</v>
      </c>
      <c r="F220" s="139">
        <v>0</v>
      </c>
      <c r="G220" s="140"/>
      <c r="H220" s="140"/>
      <c r="I220" s="140">
        <v>0</v>
      </c>
      <c r="J220" s="139">
        <v>0</v>
      </c>
      <c r="K220" s="139">
        <v>0</v>
      </c>
    </row>
    <row r="221" spans="1:28" ht="147.75" x14ac:dyDescent="0.2">
      <c r="A221" s="149" t="s">
        <v>165</v>
      </c>
      <c r="B221" s="149" t="s">
        <v>1556</v>
      </c>
      <c r="C221" s="145" t="s">
        <v>1374</v>
      </c>
      <c r="D221" s="3">
        <v>5.8999999999999997E-2</v>
      </c>
      <c r="E221" s="141">
        <v>10387.799999999999</v>
      </c>
      <c r="F221" s="141">
        <v>338.19</v>
      </c>
      <c r="G221" s="140">
        <v>613</v>
      </c>
      <c r="H221" s="140">
        <v>111</v>
      </c>
      <c r="I221" s="142">
        <v>20</v>
      </c>
      <c r="J221" s="141">
        <v>215.6825</v>
      </c>
      <c r="K221" s="141">
        <v>12.725267499999999</v>
      </c>
      <c r="T221">
        <v>798</v>
      </c>
      <c r="U221">
        <v>482</v>
      </c>
      <c r="V221">
        <v>111</v>
      </c>
      <c r="W221">
        <v>20</v>
      </c>
      <c r="X221">
        <v>5</v>
      </c>
      <c r="Y221">
        <v>12.725267499999999</v>
      </c>
      <c r="Z221">
        <v>0.37169999999999997</v>
      </c>
      <c r="AA221">
        <v>123</v>
      </c>
      <c r="AB221">
        <v>62</v>
      </c>
    </row>
    <row r="222" spans="1:28" ht="14.25" x14ac:dyDescent="0.2">
      <c r="C222" s="35" t="s">
        <v>97</v>
      </c>
      <c r="D222" s="3"/>
      <c r="E222" s="139">
        <v>1885.07</v>
      </c>
      <c r="F222" s="139">
        <v>77.260000000000005</v>
      </c>
      <c r="G222" s="140"/>
      <c r="H222" s="140"/>
      <c r="I222" s="140">
        <v>5</v>
      </c>
      <c r="J222" s="139">
        <v>6.3</v>
      </c>
      <c r="K222" s="139">
        <v>0.37169999999999997</v>
      </c>
    </row>
    <row r="223" spans="1:28" x14ac:dyDescent="0.2">
      <c r="C223" s="36" t="s">
        <v>1175</v>
      </c>
    </row>
    <row r="224" spans="1:28" x14ac:dyDescent="0.2">
      <c r="C224" s="20" t="s">
        <v>89</v>
      </c>
      <c r="D224" s="37">
        <v>118</v>
      </c>
      <c r="E224" s="144">
        <v>2083.9944599999999</v>
      </c>
      <c r="F224" s="37" t="s">
        <v>1176</v>
      </c>
      <c r="G224" s="143">
        <v>123</v>
      </c>
      <c r="H224" s="37" t="s">
        <v>164</v>
      </c>
      <c r="I224" s="37"/>
      <c r="J224" s="37"/>
      <c r="K224" s="37"/>
    </row>
    <row r="225" spans="1:28" x14ac:dyDescent="0.2">
      <c r="C225" s="20" t="s">
        <v>92</v>
      </c>
      <c r="D225" s="37">
        <v>63</v>
      </c>
      <c r="E225" s="144">
        <v>1050.8277149999999</v>
      </c>
      <c r="F225" s="37" t="s">
        <v>1177</v>
      </c>
      <c r="G225" s="143">
        <v>62</v>
      </c>
      <c r="H225" s="37" t="s">
        <v>1178</v>
      </c>
      <c r="I225" s="37"/>
      <c r="J225" s="37"/>
      <c r="K225" s="37"/>
    </row>
    <row r="226" spans="1:28" x14ac:dyDescent="0.2">
      <c r="C226" s="20" t="s">
        <v>95</v>
      </c>
      <c r="D226" s="37"/>
      <c r="E226" s="144">
        <v>13522.622174999999</v>
      </c>
      <c r="F226" s="37"/>
      <c r="G226" s="143">
        <v>798</v>
      </c>
      <c r="H226" s="37"/>
      <c r="I226" s="37"/>
      <c r="J226" s="37"/>
      <c r="K226" s="37"/>
    </row>
    <row r="227" spans="1:28" ht="14.25" x14ac:dyDescent="0.2">
      <c r="A227" s="149" t="s">
        <v>553</v>
      </c>
      <c r="B227" s="149" t="s">
        <v>1146</v>
      </c>
      <c r="C227" s="145" t="s">
        <v>1179</v>
      </c>
      <c r="D227" s="3">
        <v>5.8999999999999995</v>
      </c>
      <c r="E227" s="141">
        <v>0</v>
      </c>
      <c r="F227" s="141">
        <v>0</v>
      </c>
      <c r="G227" s="140">
        <v>0</v>
      </c>
      <c r="H227" s="140">
        <v>0</v>
      </c>
      <c r="I227" s="142">
        <v>0</v>
      </c>
      <c r="J227" s="141">
        <v>0</v>
      </c>
      <c r="K227" s="141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</row>
    <row r="228" spans="1:28" ht="14.25" x14ac:dyDescent="0.2">
      <c r="C228" s="35" t="s">
        <v>117</v>
      </c>
      <c r="D228" s="3"/>
      <c r="E228" s="139">
        <v>0</v>
      </c>
      <c r="F228" s="139">
        <v>0</v>
      </c>
      <c r="G228" s="140"/>
      <c r="H228" s="140"/>
      <c r="I228" s="140">
        <v>0</v>
      </c>
      <c r="J228" s="139">
        <v>0</v>
      </c>
      <c r="K228" s="139">
        <v>0</v>
      </c>
    </row>
    <row r="229" spans="1:28" ht="99.75" x14ac:dyDescent="0.2">
      <c r="A229" s="149" t="s">
        <v>166</v>
      </c>
      <c r="B229" s="149" t="s">
        <v>1557</v>
      </c>
      <c r="C229" s="145" t="s">
        <v>1558</v>
      </c>
      <c r="D229" s="3">
        <v>5.9</v>
      </c>
      <c r="E229" s="141">
        <v>935.36</v>
      </c>
      <c r="F229" s="141">
        <v>0</v>
      </c>
      <c r="G229" s="140">
        <v>5519</v>
      </c>
      <c r="H229" s="140">
        <v>0</v>
      </c>
      <c r="I229" s="142">
        <v>0</v>
      </c>
      <c r="J229" s="141">
        <v>0</v>
      </c>
      <c r="K229" s="141">
        <v>0</v>
      </c>
      <c r="T229">
        <v>5519</v>
      </c>
      <c r="U229">
        <v>5519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</row>
    <row r="230" spans="1:28" ht="14.25" x14ac:dyDescent="0.2">
      <c r="C230" s="35" t="s">
        <v>117</v>
      </c>
      <c r="D230" s="3"/>
      <c r="E230" s="139">
        <v>0</v>
      </c>
      <c r="F230" s="139">
        <v>0</v>
      </c>
      <c r="G230" s="140"/>
      <c r="H230" s="140"/>
      <c r="I230" s="140">
        <v>0</v>
      </c>
      <c r="J230" s="139">
        <v>0</v>
      </c>
      <c r="K230" s="139">
        <v>0</v>
      </c>
    </row>
    <row r="231" spans="1:28" ht="176.25" x14ac:dyDescent="0.2">
      <c r="A231" s="149" t="s">
        <v>167</v>
      </c>
      <c r="B231" s="149" t="s">
        <v>1559</v>
      </c>
      <c r="C231" s="145" t="s">
        <v>1373</v>
      </c>
      <c r="D231" s="3">
        <v>0.14099999999999999</v>
      </c>
      <c r="E231" s="141">
        <v>7983.84</v>
      </c>
      <c r="F231" s="141">
        <v>295.2</v>
      </c>
      <c r="G231" s="140">
        <v>1126</v>
      </c>
      <c r="H231" s="140">
        <v>206</v>
      </c>
      <c r="I231" s="142">
        <v>42</v>
      </c>
      <c r="J231" s="141">
        <v>166.96849999999998</v>
      </c>
      <c r="K231" s="141">
        <v>23.542558499999995</v>
      </c>
      <c r="T231">
        <v>1468</v>
      </c>
      <c r="U231">
        <v>878</v>
      </c>
      <c r="V231">
        <v>206</v>
      </c>
      <c r="W231">
        <v>42</v>
      </c>
      <c r="X231">
        <v>8</v>
      </c>
      <c r="Y231">
        <v>23.542558499999995</v>
      </c>
      <c r="Z231">
        <v>0.69442499999999996</v>
      </c>
      <c r="AA231">
        <v>227</v>
      </c>
      <c r="AB231">
        <v>115</v>
      </c>
    </row>
    <row r="232" spans="1:28" ht="14.25" x14ac:dyDescent="0.2">
      <c r="C232" s="35" t="s">
        <v>97</v>
      </c>
      <c r="D232" s="3"/>
      <c r="E232" s="139">
        <v>1459.3</v>
      </c>
      <c r="F232" s="139">
        <v>58.7</v>
      </c>
      <c r="G232" s="140"/>
      <c r="H232" s="140"/>
      <c r="I232" s="140">
        <v>8</v>
      </c>
      <c r="J232" s="139">
        <v>4.9249999999999998</v>
      </c>
      <c r="K232" s="139">
        <v>0.69442499999999996</v>
      </c>
    </row>
    <row r="233" spans="1:28" x14ac:dyDescent="0.2">
      <c r="C233" s="36" t="s">
        <v>1180</v>
      </c>
    </row>
    <row r="234" spans="1:28" x14ac:dyDescent="0.2">
      <c r="C234" s="20" t="s">
        <v>89</v>
      </c>
      <c r="D234" s="37">
        <v>118</v>
      </c>
      <c r="E234" s="144">
        <v>1612.116</v>
      </c>
      <c r="F234" s="37" t="s">
        <v>1176</v>
      </c>
      <c r="G234" s="143">
        <v>227</v>
      </c>
      <c r="H234" s="37" t="s">
        <v>164</v>
      </c>
      <c r="I234" s="37"/>
      <c r="J234" s="37"/>
      <c r="K234" s="37"/>
    </row>
    <row r="235" spans="1:28" x14ac:dyDescent="0.2">
      <c r="C235" s="20" t="s">
        <v>92</v>
      </c>
      <c r="D235" s="37">
        <v>63</v>
      </c>
      <c r="E235" s="144">
        <v>812.8889999999999</v>
      </c>
      <c r="F235" s="37" t="s">
        <v>1177</v>
      </c>
      <c r="G235" s="143">
        <v>115</v>
      </c>
      <c r="H235" s="37" t="s">
        <v>1178</v>
      </c>
      <c r="I235" s="37"/>
      <c r="J235" s="37"/>
      <c r="K235" s="37"/>
    </row>
    <row r="236" spans="1:28" x14ac:dyDescent="0.2">
      <c r="C236" s="20" t="s">
        <v>95</v>
      </c>
      <c r="D236" s="37"/>
      <c r="E236" s="144">
        <v>10408.845000000001</v>
      </c>
      <c r="F236" s="37"/>
      <c r="G236" s="143">
        <v>1468</v>
      </c>
      <c r="H236" s="37"/>
      <c r="I236" s="37"/>
      <c r="J236" s="37"/>
      <c r="K236" s="37"/>
    </row>
    <row r="237" spans="1:28" ht="14.25" x14ac:dyDescent="0.2">
      <c r="A237" s="149" t="s">
        <v>377</v>
      </c>
      <c r="B237" s="149" t="s">
        <v>1146</v>
      </c>
      <c r="C237" s="145" t="s">
        <v>1179</v>
      </c>
      <c r="D237" s="3">
        <v>14.099999999999998</v>
      </c>
      <c r="E237" s="141">
        <v>0</v>
      </c>
      <c r="F237" s="141">
        <v>0</v>
      </c>
      <c r="G237" s="140">
        <v>0</v>
      </c>
      <c r="H237" s="140">
        <v>0</v>
      </c>
      <c r="I237" s="142">
        <v>0</v>
      </c>
      <c r="J237" s="141">
        <v>0</v>
      </c>
      <c r="K237" s="141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</row>
    <row r="238" spans="1:28" ht="14.25" x14ac:dyDescent="0.2">
      <c r="C238" s="35" t="s">
        <v>117</v>
      </c>
      <c r="D238" s="3"/>
      <c r="E238" s="139">
        <v>0</v>
      </c>
      <c r="F238" s="139">
        <v>0</v>
      </c>
      <c r="G238" s="140"/>
      <c r="H238" s="140"/>
      <c r="I238" s="140">
        <v>0</v>
      </c>
      <c r="J238" s="139">
        <v>0</v>
      </c>
      <c r="K238" s="139">
        <v>0</v>
      </c>
    </row>
    <row r="239" spans="1:28" ht="99.75" x14ac:dyDescent="0.2">
      <c r="A239" s="149" t="s">
        <v>168</v>
      </c>
      <c r="B239" s="149" t="s">
        <v>1560</v>
      </c>
      <c r="C239" s="145" t="s">
        <v>1561</v>
      </c>
      <c r="D239" s="3">
        <v>14.1</v>
      </c>
      <c r="E239" s="141">
        <v>1333.41</v>
      </c>
      <c r="F239" s="141">
        <v>0</v>
      </c>
      <c r="G239" s="140">
        <v>18801</v>
      </c>
      <c r="H239" s="140">
        <v>0</v>
      </c>
      <c r="I239" s="142">
        <v>0</v>
      </c>
      <c r="J239" s="141">
        <v>0</v>
      </c>
      <c r="K239" s="141">
        <v>0</v>
      </c>
      <c r="T239">
        <v>18801</v>
      </c>
      <c r="U239">
        <v>18801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</row>
    <row r="240" spans="1:28" ht="14.25" x14ac:dyDescent="0.2">
      <c r="C240" s="35" t="s">
        <v>117</v>
      </c>
      <c r="D240" s="3"/>
      <c r="E240" s="139">
        <v>0</v>
      </c>
      <c r="F240" s="139">
        <v>0</v>
      </c>
      <c r="G240" s="140"/>
      <c r="H240" s="140"/>
      <c r="I240" s="140">
        <v>0</v>
      </c>
      <c r="J240" s="139">
        <v>0</v>
      </c>
      <c r="K240" s="139">
        <v>0</v>
      </c>
    </row>
    <row r="241" spans="1:28" ht="105" x14ac:dyDescent="0.2">
      <c r="A241" s="149" t="s">
        <v>170</v>
      </c>
      <c r="B241" s="149" t="s">
        <v>1562</v>
      </c>
      <c r="C241" s="145" t="s">
        <v>1372</v>
      </c>
      <c r="D241" s="3">
        <v>0.13900000000000001</v>
      </c>
      <c r="E241" s="141">
        <v>2392.96</v>
      </c>
      <c r="F241" s="141">
        <v>13.06</v>
      </c>
      <c r="G241" s="140">
        <v>333</v>
      </c>
      <c r="H241" s="140">
        <v>27</v>
      </c>
      <c r="I241" s="142">
        <v>2</v>
      </c>
      <c r="J241" s="141">
        <v>22.355999999999998</v>
      </c>
      <c r="K241" s="141">
        <v>3.1074839999999999</v>
      </c>
      <c r="T241">
        <v>376</v>
      </c>
      <c r="U241">
        <v>304</v>
      </c>
      <c r="V241">
        <v>27</v>
      </c>
      <c r="W241">
        <v>2</v>
      </c>
      <c r="X241">
        <v>0</v>
      </c>
      <c r="Y241">
        <v>3.1074839999999999</v>
      </c>
      <c r="Z241">
        <v>3.1274999999999997E-2</v>
      </c>
      <c r="AA241">
        <v>29</v>
      </c>
      <c r="AB241">
        <v>14</v>
      </c>
    </row>
    <row r="242" spans="1:28" ht="14.25" x14ac:dyDescent="0.2">
      <c r="C242" s="35" t="s">
        <v>169</v>
      </c>
      <c r="D242" s="3"/>
      <c r="E242" s="139">
        <v>190.69</v>
      </c>
      <c r="F242" s="139">
        <v>2.7</v>
      </c>
      <c r="G242" s="140"/>
      <c r="H242" s="140"/>
      <c r="I242" s="140">
        <v>0</v>
      </c>
      <c r="J242" s="139">
        <v>0.22499999999999998</v>
      </c>
      <c r="K242" s="139">
        <v>3.1274999999999997E-2</v>
      </c>
    </row>
    <row r="243" spans="1:28" x14ac:dyDescent="0.2">
      <c r="C243" s="36" t="s">
        <v>1181</v>
      </c>
    </row>
    <row r="244" spans="1:28" x14ac:dyDescent="0.2">
      <c r="C244" s="20" t="s">
        <v>89</v>
      </c>
      <c r="D244" s="37">
        <v>118</v>
      </c>
      <c r="E244" s="144">
        <v>205.38018</v>
      </c>
      <c r="F244" s="37" t="s">
        <v>1176</v>
      </c>
      <c r="G244" s="143">
        <v>29</v>
      </c>
      <c r="H244" s="37" t="s">
        <v>164</v>
      </c>
      <c r="I244" s="37"/>
      <c r="J244" s="37"/>
      <c r="K244" s="37"/>
    </row>
    <row r="245" spans="1:28" x14ac:dyDescent="0.2">
      <c r="C245" s="20" t="s">
        <v>92</v>
      </c>
      <c r="D245" s="37">
        <v>63</v>
      </c>
      <c r="E245" s="144">
        <v>103.56034499999998</v>
      </c>
      <c r="F245" s="37" t="s">
        <v>1177</v>
      </c>
      <c r="G245" s="143">
        <v>14</v>
      </c>
      <c r="H245" s="37" t="s">
        <v>1178</v>
      </c>
      <c r="I245" s="37"/>
      <c r="J245" s="37"/>
      <c r="K245" s="37"/>
    </row>
    <row r="246" spans="1:28" x14ac:dyDescent="0.2">
      <c r="C246" s="20" t="s">
        <v>95</v>
      </c>
      <c r="D246" s="37"/>
      <c r="E246" s="144">
        <v>2701.900525</v>
      </c>
      <c r="F246" s="37"/>
      <c r="G246" s="143">
        <v>376</v>
      </c>
      <c r="H246" s="37"/>
      <c r="I246" s="37"/>
      <c r="J246" s="37"/>
      <c r="K246" s="37"/>
    </row>
    <row r="247" spans="1:28" ht="99.75" x14ac:dyDescent="0.2">
      <c r="A247" s="149" t="s">
        <v>172</v>
      </c>
      <c r="B247" s="149" t="s">
        <v>1563</v>
      </c>
      <c r="C247" s="145" t="s">
        <v>1182</v>
      </c>
      <c r="D247" s="3">
        <v>15.29</v>
      </c>
      <c r="E247" s="141">
        <v>49.56</v>
      </c>
      <c r="F247" s="141">
        <v>0</v>
      </c>
      <c r="G247" s="140">
        <v>758</v>
      </c>
      <c r="H247" s="140">
        <v>0</v>
      </c>
      <c r="I247" s="142">
        <v>0</v>
      </c>
      <c r="J247" s="141">
        <v>0</v>
      </c>
      <c r="K247" s="141">
        <v>0</v>
      </c>
      <c r="T247">
        <v>758</v>
      </c>
      <c r="U247">
        <v>758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</row>
    <row r="248" spans="1:28" ht="14.25" x14ac:dyDescent="0.2">
      <c r="C248" s="35" t="s">
        <v>171</v>
      </c>
      <c r="D248" s="3"/>
      <c r="E248" s="139">
        <v>0</v>
      </c>
      <c r="F248" s="139">
        <v>0</v>
      </c>
      <c r="G248" s="140"/>
      <c r="H248" s="140"/>
      <c r="I248" s="140">
        <v>0</v>
      </c>
      <c r="J248" s="139">
        <v>0</v>
      </c>
      <c r="K248" s="139">
        <v>0</v>
      </c>
    </row>
    <row r="249" spans="1:28" x14ac:dyDescent="0.2">
      <c r="C249" s="36" t="s">
        <v>1183</v>
      </c>
    </row>
    <row r="250" spans="1:28" ht="99.75" x14ac:dyDescent="0.2">
      <c r="A250" s="149" t="s">
        <v>174</v>
      </c>
      <c r="B250" s="149" t="s">
        <v>1564</v>
      </c>
      <c r="C250" s="145" t="s">
        <v>1184</v>
      </c>
      <c r="D250" s="3">
        <v>1.6</v>
      </c>
      <c r="E250" s="141">
        <v>3.15</v>
      </c>
      <c r="F250" s="141">
        <v>0</v>
      </c>
      <c r="G250" s="140">
        <v>5</v>
      </c>
      <c r="H250" s="140">
        <v>0</v>
      </c>
      <c r="I250" s="142">
        <v>0</v>
      </c>
      <c r="J250" s="141">
        <v>0</v>
      </c>
      <c r="K250" s="141">
        <v>0</v>
      </c>
      <c r="T250">
        <v>5</v>
      </c>
      <c r="U250">
        <v>5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</row>
    <row r="251" spans="1:28" ht="14.25" x14ac:dyDescent="0.2">
      <c r="C251" s="35" t="s">
        <v>173</v>
      </c>
      <c r="D251" s="3"/>
      <c r="E251" s="139">
        <v>0</v>
      </c>
      <c r="F251" s="139">
        <v>0</v>
      </c>
      <c r="G251" s="140"/>
      <c r="H251" s="140"/>
      <c r="I251" s="140">
        <v>0</v>
      </c>
      <c r="J251" s="139">
        <v>0</v>
      </c>
      <c r="K251" s="139">
        <v>0</v>
      </c>
    </row>
    <row r="252" spans="1:28" x14ac:dyDescent="0.2">
      <c r="C252" s="36" t="s">
        <v>1185</v>
      </c>
    </row>
    <row r="253" spans="1:28" ht="133.5" x14ac:dyDescent="0.2">
      <c r="A253" s="149" t="s">
        <v>176</v>
      </c>
      <c r="B253" s="149" t="s">
        <v>1565</v>
      </c>
      <c r="C253" s="145" t="s">
        <v>1121</v>
      </c>
      <c r="D253" s="3">
        <v>0.129</v>
      </c>
      <c r="E253" s="141">
        <v>1801.98</v>
      </c>
      <c r="F253" s="141">
        <v>44.2</v>
      </c>
      <c r="G253" s="140">
        <v>233</v>
      </c>
      <c r="H253" s="140">
        <v>227</v>
      </c>
      <c r="I253" s="142">
        <v>6</v>
      </c>
      <c r="J253" s="141">
        <v>191.44049999999999</v>
      </c>
      <c r="K253" s="141">
        <v>24.695824500000001</v>
      </c>
      <c r="T253">
        <v>555</v>
      </c>
      <c r="U253">
        <v>0</v>
      </c>
      <c r="V253">
        <v>227</v>
      </c>
      <c r="W253">
        <v>6</v>
      </c>
      <c r="X253">
        <v>1</v>
      </c>
      <c r="Y253">
        <v>24.695824500000001</v>
      </c>
      <c r="Z253">
        <v>9.3524999999999997E-2</v>
      </c>
      <c r="AA253">
        <v>215</v>
      </c>
      <c r="AB253">
        <v>107</v>
      </c>
    </row>
    <row r="254" spans="1:28" ht="14.25" x14ac:dyDescent="0.2">
      <c r="C254" s="35" t="s">
        <v>97</v>
      </c>
      <c r="D254" s="3"/>
      <c r="E254" s="139">
        <v>1757.42</v>
      </c>
      <c r="F254" s="139">
        <v>8.6</v>
      </c>
      <c r="G254" s="140"/>
      <c r="H254" s="140"/>
      <c r="I254" s="140">
        <v>1</v>
      </c>
      <c r="J254" s="139">
        <v>0.72499999999999998</v>
      </c>
      <c r="K254" s="139">
        <v>9.3524999999999997E-2</v>
      </c>
    </row>
    <row r="255" spans="1:28" x14ac:dyDescent="0.2">
      <c r="C255" s="36" t="s">
        <v>1186</v>
      </c>
    </row>
    <row r="256" spans="1:28" x14ac:dyDescent="0.2">
      <c r="C256" s="20" t="s">
        <v>89</v>
      </c>
      <c r="D256" s="37">
        <v>105</v>
      </c>
      <c r="E256" s="144">
        <v>1668.8888999999999</v>
      </c>
      <c r="F256" s="37" t="s">
        <v>1130</v>
      </c>
      <c r="G256" s="143">
        <v>215</v>
      </c>
      <c r="H256" s="37" t="s">
        <v>1131</v>
      </c>
      <c r="I256" s="37"/>
      <c r="J256" s="37"/>
      <c r="K256" s="37"/>
    </row>
    <row r="257" spans="1:28" x14ac:dyDescent="0.2">
      <c r="C257" s="20" t="s">
        <v>92</v>
      </c>
      <c r="D257" s="37">
        <v>55</v>
      </c>
      <c r="E257" s="144">
        <v>825.61434999999994</v>
      </c>
      <c r="F257" s="37" t="s">
        <v>1132</v>
      </c>
      <c r="G257" s="143">
        <v>107</v>
      </c>
      <c r="H257" s="37" t="s">
        <v>1133</v>
      </c>
      <c r="I257" s="37"/>
      <c r="J257" s="37"/>
      <c r="K257" s="37"/>
    </row>
    <row r="258" spans="1:28" x14ac:dyDescent="0.2">
      <c r="C258" s="20" t="s">
        <v>95</v>
      </c>
      <c r="D258" s="37"/>
      <c r="E258" s="144">
        <v>4296.4832499999993</v>
      </c>
      <c r="F258" s="37"/>
      <c r="G258" s="143">
        <v>555</v>
      </c>
      <c r="H258" s="37"/>
      <c r="I258" s="37"/>
      <c r="J258" s="37"/>
      <c r="K258" s="37"/>
    </row>
    <row r="259" spans="1:28" ht="14.25" x14ac:dyDescent="0.2">
      <c r="A259" s="149" t="s">
        <v>1566</v>
      </c>
      <c r="B259" s="149" t="s">
        <v>1146</v>
      </c>
      <c r="C259" s="145" t="s">
        <v>1187</v>
      </c>
      <c r="D259" s="3">
        <v>13.545</v>
      </c>
      <c r="E259" s="141">
        <v>0</v>
      </c>
      <c r="F259" s="141">
        <v>0</v>
      </c>
      <c r="G259" s="140">
        <v>0</v>
      </c>
      <c r="H259" s="140">
        <v>0</v>
      </c>
      <c r="I259" s="142">
        <v>0</v>
      </c>
      <c r="J259" s="141">
        <v>0</v>
      </c>
      <c r="K259" s="141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</row>
    <row r="260" spans="1:28" ht="14.25" x14ac:dyDescent="0.2">
      <c r="C260" s="35" t="s">
        <v>117</v>
      </c>
      <c r="D260" s="3"/>
      <c r="E260" s="139">
        <v>0</v>
      </c>
      <c r="F260" s="139">
        <v>0</v>
      </c>
      <c r="G260" s="140"/>
      <c r="H260" s="140"/>
      <c r="I260" s="140">
        <v>0</v>
      </c>
      <c r="J260" s="139">
        <v>0</v>
      </c>
      <c r="K260" s="139">
        <v>0</v>
      </c>
    </row>
    <row r="261" spans="1:28" ht="14.25" x14ac:dyDescent="0.2">
      <c r="A261" s="149" t="s">
        <v>1567</v>
      </c>
      <c r="B261" s="149" t="s">
        <v>1146</v>
      </c>
      <c r="C261" s="145" t="s">
        <v>1188</v>
      </c>
      <c r="D261" s="3">
        <v>3.87</v>
      </c>
      <c r="E261" s="141">
        <v>0</v>
      </c>
      <c r="F261" s="141">
        <v>0</v>
      </c>
      <c r="G261" s="140">
        <v>0</v>
      </c>
      <c r="H261" s="140">
        <v>0</v>
      </c>
      <c r="I261" s="142">
        <v>0</v>
      </c>
      <c r="J261" s="141">
        <v>0</v>
      </c>
      <c r="K261" s="14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</row>
    <row r="262" spans="1:28" ht="14.25" x14ac:dyDescent="0.2">
      <c r="C262" s="35" t="s">
        <v>175</v>
      </c>
      <c r="D262" s="3"/>
      <c r="E262" s="139">
        <v>0</v>
      </c>
      <c r="F262" s="139">
        <v>0</v>
      </c>
      <c r="G262" s="140"/>
      <c r="H262" s="140"/>
      <c r="I262" s="140">
        <v>0</v>
      </c>
      <c r="J262" s="139">
        <v>0</v>
      </c>
      <c r="K262" s="139">
        <v>0</v>
      </c>
    </row>
    <row r="263" spans="1:28" ht="14.25" x14ac:dyDescent="0.2">
      <c r="A263" s="149" t="s">
        <v>1568</v>
      </c>
      <c r="B263" s="149" t="s">
        <v>1146</v>
      </c>
      <c r="C263" s="145" t="s">
        <v>1190</v>
      </c>
      <c r="D263" s="3">
        <v>1.1481E-3</v>
      </c>
      <c r="E263" s="141">
        <v>0</v>
      </c>
      <c r="F263" s="141">
        <v>0</v>
      </c>
      <c r="G263" s="140">
        <v>0</v>
      </c>
      <c r="H263" s="140">
        <v>0</v>
      </c>
      <c r="I263" s="142">
        <v>0</v>
      </c>
      <c r="J263" s="141">
        <v>0</v>
      </c>
      <c r="K263" s="141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</row>
    <row r="264" spans="1:28" ht="14.25" x14ac:dyDescent="0.2">
      <c r="C264" s="35" t="s">
        <v>99</v>
      </c>
      <c r="D264" s="3"/>
      <c r="E264" s="139">
        <v>0</v>
      </c>
      <c r="F264" s="139">
        <v>0</v>
      </c>
      <c r="G264" s="140"/>
      <c r="H264" s="140"/>
      <c r="I264" s="140">
        <v>0</v>
      </c>
      <c r="J264" s="139">
        <v>0</v>
      </c>
      <c r="K264" s="139">
        <v>0</v>
      </c>
    </row>
    <row r="265" spans="1:28" ht="99.75" x14ac:dyDescent="0.2">
      <c r="A265" s="149" t="s">
        <v>177</v>
      </c>
      <c r="B265" s="149" t="s">
        <v>1569</v>
      </c>
      <c r="C265" s="145" t="s">
        <v>1191</v>
      </c>
      <c r="D265" s="3">
        <v>13.545</v>
      </c>
      <c r="E265" s="141">
        <v>70.06</v>
      </c>
      <c r="F265" s="141">
        <v>0</v>
      </c>
      <c r="G265" s="140">
        <v>949</v>
      </c>
      <c r="H265" s="140">
        <v>0</v>
      </c>
      <c r="I265" s="142">
        <v>0</v>
      </c>
      <c r="J265" s="141">
        <v>0</v>
      </c>
      <c r="K265" s="141">
        <v>0</v>
      </c>
      <c r="T265">
        <v>949</v>
      </c>
      <c r="U265">
        <v>949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</row>
    <row r="266" spans="1:28" ht="14.25" x14ac:dyDescent="0.2">
      <c r="C266" s="35" t="s">
        <v>117</v>
      </c>
      <c r="D266" s="3"/>
      <c r="E266" s="139">
        <v>0</v>
      </c>
      <c r="F266" s="139">
        <v>0</v>
      </c>
      <c r="G266" s="140"/>
      <c r="H266" s="140"/>
      <c r="I266" s="140">
        <v>0</v>
      </c>
      <c r="J266" s="139">
        <v>0</v>
      </c>
      <c r="K266" s="139">
        <v>0</v>
      </c>
    </row>
    <row r="267" spans="1:28" ht="99.75" x14ac:dyDescent="0.2">
      <c r="A267" s="149" t="s">
        <v>178</v>
      </c>
      <c r="B267" s="149" t="s">
        <v>1570</v>
      </c>
      <c r="C267" s="145" t="s">
        <v>1192</v>
      </c>
      <c r="D267" s="3">
        <v>4.0000000000000001E-3</v>
      </c>
      <c r="E267" s="141">
        <v>1696.9</v>
      </c>
      <c r="F267" s="141">
        <v>0</v>
      </c>
      <c r="G267" s="140">
        <v>7</v>
      </c>
      <c r="H267" s="140">
        <v>0</v>
      </c>
      <c r="I267" s="142">
        <v>0</v>
      </c>
      <c r="J267" s="141">
        <v>0</v>
      </c>
      <c r="K267" s="141">
        <v>0</v>
      </c>
      <c r="T267">
        <v>7</v>
      </c>
      <c r="U267">
        <v>7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</row>
    <row r="268" spans="1:28" ht="14.25" x14ac:dyDescent="0.2">
      <c r="C268" s="35" t="s">
        <v>99</v>
      </c>
      <c r="D268" s="3"/>
      <c r="E268" s="139">
        <v>0</v>
      </c>
      <c r="F268" s="139">
        <v>0</v>
      </c>
      <c r="G268" s="140"/>
      <c r="H268" s="140"/>
      <c r="I268" s="140">
        <v>0</v>
      </c>
      <c r="J268" s="139">
        <v>0</v>
      </c>
      <c r="K268" s="139">
        <v>0</v>
      </c>
    </row>
    <row r="269" spans="1:28" x14ac:dyDescent="0.2">
      <c r="C269" s="36" t="s">
        <v>1193</v>
      </c>
    </row>
    <row r="270" spans="1:28" ht="99.75" x14ac:dyDescent="0.2">
      <c r="A270" s="149" t="s">
        <v>179</v>
      </c>
      <c r="B270" s="149" t="s">
        <v>1571</v>
      </c>
      <c r="C270" s="145" t="s">
        <v>1194</v>
      </c>
      <c r="D270" s="3">
        <v>1.1000000000000001</v>
      </c>
      <c r="E270" s="141">
        <v>182.94</v>
      </c>
      <c r="F270" s="141">
        <v>0</v>
      </c>
      <c r="G270" s="140">
        <v>201</v>
      </c>
      <c r="H270" s="140">
        <v>0</v>
      </c>
      <c r="I270" s="142">
        <v>0</v>
      </c>
      <c r="J270" s="141">
        <v>0</v>
      </c>
      <c r="K270" s="141">
        <v>0</v>
      </c>
      <c r="T270">
        <v>201</v>
      </c>
      <c r="U270">
        <v>201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</row>
    <row r="271" spans="1:28" ht="14.25" x14ac:dyDescent="0.2">
      <c r="C271" s="35" t="s">
        <v>175</v>
      </c>
      <c r="D271" s="3"/>
      <c r="E271" s="139">
        <v>0</v>
      </c>
      <c r="F271" s="139">
        <v>0</v>
      </c>
      <c r="G271" s="140"/>
      <c r="H271" s="140"/>
      <c r="I271" s="140">
        <v>0</v>
      </c>
      <c r="J271" s="139">
        <v>0</v>
      </c>
      <c r="K271" s="139">
        <v>0</v>
      </c>
    </row>
    <row r="272" spans="1:28" ht="99.75" x14ac:dyDescent="0.2">
      <c r="A272" s="149" t="s">
        <v>181</v>
      </c>
      <c r="B272" s="149" t="s">
        <v>1572</v>
      </c>
      <c r="C272" s="145" t="s">
        <v>1120</v>
      </c>
      <c r="D272" s="3">
        <v>0.73799999999999999</v>
      </c>
      <c r="E272" s="141">
        <v>101.72</v>
      </c>
      <c r="F272" s="141">
        <v>0</v>
      </c>
      <c r="G272" s="140">
        <v>76</v>
      </c>
      <c r="H272" s="140">
        <v>49</v>
      </c>
      <c r="I272" s="142">
        <v>0</v>
      </c>
      <c r="J272" s="141">
        <v>7.7049999999999992</v>
      </c>
      <c r="K272" s="141">
        <v>5.6862899999999996</v>
      </c>
      <c r="T272">
        <v>154</v>
      </c>
      <c r="U272">
        <v>27</v>
      </c>
      <c r="V272">
        <v>49</v>
      </c>
      <c r="W272">
        <v>0</v>
      </c>
      <c r="X272">
        <v>0</v>
      </c>
      <c r="Y272">
        <v>5.6862899999999996</v>
      </c>
      <c r="Z272">
        <v>0</v>
      </c>
      <c r="AA272">
        <v>52</v>
      </c>
      <c r="AB272">
        <v>26</v>
      </c>
    </row>
    <row r="273" spans="1:28" ht="14.25" x14ac:dyDescent="0.2">
      <c r="C273" s="35" t="s">
        <v>169</v>
      </c>
      <c r="D273" s="3"/>
      <c r="E273" s="139">
        <v>65.72</v>
      </c>
      <c r="F273" s="139">
        <v>0</v>
      </c>
      <c r="G273" s="140"/>
      <c r="H273" s="140"/>
      <c r="I273" s="140">
        <v>0</v>
      </c>
      <c r="J273" s="139">
        <v>0</v>
      </c>
      <c r="K273" s="139">
        <v>0</v>
      </c>
    </row>
    <row r="274" spans="1:28" x14ac:dyDescent="0.2">
      <c r="C274" s="36" t="s">
        <v>1195</v>
      </c>
    </row>
    <row r="275" spans="1:28" x14ac:dyDescent="0.2">
      <c r="C275" s="20" t="s">
        <v>89</v>
      </c>
      <c r="D275" s="37">
        <v>118</v>
      </c>
      <c r="E275" s="144">
        <v>69.794640000000001</v>
      </c>
      <c r="F275" s="37" t="s">
        <v>1176</v>
      </c>
      <c r="G275" s="143">
        <v>52</v>
      </c>
      <c r="H275" s="37" t="s">
        <v>164</v>
      </c>
      <c r="I275" s="37"/>
      <c r="J275" s="37"/>
      <c r="K275" s="37"/>
    </row>
    <row r="276" spans="1:28" x14ac:dyDescent="0.2">
      <c r="C276" s="20" t="s">
        <v>92</v>
      </c>
      <c r="D276" s="37">
        <v>63</v>
      </c>
      <c r="E276" s="144">
        <v>35.193059999999996</v>
      </c>
      <c r="F276" s="37" t="s">
        <v>1177</v>
      </c>
      <c r="G276" s="143">
        <v>26</v>
      </c>
      <c r="H276" s="37" t="s">
        <v>1178</v>
      </c>
      <c r="I276" s="37"/>
      <c r="J276" s="37"/>
      <c r="K276" s="37"/>
    </row>
    <row r="277" spans="1:28" x14ac:dyDescent="0.2">
      <c r="C277" s="20" t="s">
        <v>95</v>
      </c>
      <c r="D277" s="37"/>
      <c r="E277" s="144">
        <v>206.70769999999999</v>
      </c>
      <c r="F277" s="37"/>
      <c r="G277" s="143">
        <v>154</v>
      </c>
      <c r="H277" s="37"/>
      <c r="I277" s="37"/>
      <c r="J277" s="37"/>
      <c r="K277" s="37"/>
    </row>
    <row r="278" spans="1:28" ht="14.25" x14ac:dyDescent="0.2">
      <c r="A278" s="149" t="s">
        <v>390</v>
      </c>
      <c r="B278" s="149" t="s">
        <v>1146</v>
      </c>
      <c r="C278" s="145" t="s">
        <v>1196</v>
      </c>
      <c r="D278" s="3">
        <v>73.8</v>
      </c>
      <c r="E278" s="141">
        <v>0</v>
      </c>
      <c r="F278" s="141">
        <v>0</v>
      </c>
      <c r="G278" s="140">
        <v>0</v>
      </c>
      <c r="H278" s="140">
        <v>0</v>
      </c>
      <c r="I278" s="142">
        <v>0</v>
      </c>
      <c r="J278" s="141">
        <v>0</v>
      </c>
      <c r="K278" s="141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</row>
    <row r="279" spans="1:28" ht="14.25" x14ac:dyDescent="0.2">
      <c r="C279" s="35" t="s">
        <v>180</v>
      </c>
      <c r="D279" s="3"/>
      <c r="E279" s="139">
        <v>0</v>
      </c>
      <c r="F279" s="139">
        <v>0</v>
      </c>
      <c r="G279" s="140"/>
      <c r="H279" s="140"/>
      <c r="I279" s="140">
        <v>0</v>
      </c>
      <c r="J279" s="139">
        <v>0</v>
      </c>
      <c r="K279" s="139">
        <v>0</v>
      </c>
    </row>
    <row r="280" spans="1:28" ht="99.75" x14ac:dyDescent="0.2">
      <c r="A280" s="149" t="s">
        <v>183</v>
      </c>
      <c r="B280" s="149" t="s">
        <v>1573</v>
      </c>
      <c r="C280" s="145" t="s">
        <v>1197</v>
      </c>
      <c r="D280" s="3">
        <v>7.38</v>
      </c>
      <c r="E280" s="141">
        <v>29.9</v>
      </c>
      <c r="F280" s="141">
        <v>0</v>
      </c>
      <c r="G280" s="140">
        <v>221</v>
      </c>
      <c r="H280" s="140">
        <v>0</v>
      </c>
      <c r="I280" s="142">
        <v>0</v>
      </c>
      <c r="J280" s="141">
        <v>0</v>
      </c>
      <c r="K280" s="141">
        <v>0</v>
      </c>
      <c r="T280">
        <v>221</v>
      </c>
      <c r="U280">
        <v>221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</row>
    <row r="281" spans="1:28" ht="14.25" x14ac:dyDescent="0.2">
      <c r="C281" s="35" t="s">
        <v>182</v>
      </c>
      <c r="D281" s="3"/>
      <c r="E281" s="139">
        <v>0</v>
      </c>
      <c r="F281" s="139">
        <v>0</v>
      </c>
      <c r="G281" s="140"/>
      <c r="H281" s="140"/>
      <c r="I281" s="140">
        <v>0</v>
      </c>
      <c r="J281" s="139">
        <v>0</v>
      </c>
      <c r="K281" s="139">
        <v>0</v>
      </c>
    </row>
    <row r="282" spans="1:28" x14ac:dyDescent="0.2">
      <c r="C282" s="36" t="s">
        <v>1198</v>
      </c>
    </row>
    <row r="283" spans="1:28" ht="147.75" x14ac:dyDescent="0.2">
      <c r="A283" s="149" t="s">
        <v>185</v>
      </c>
      <c r="B283" s="149" t="s">
        <v>1574</v>
      </c>
      <c r="C283" s="145" t="s">
        <v>1371</v>
      </c>
      <c r="D283" s="3">
        <v>7.0999999999999994E-2</v>
      </c>
      <c r="E283" s="141">
        <v>852.36</v>
      </c>
      <c r="F283" s="141">
        <v>29.78</v>
      </c>
      <c r="G283" s="140">
        <v>60</v>
      </c>
      <c r="H283" s="140">
        <v>58</v>
      </c>
      <c r="I283" s="142">
        <v>2</v>
      </c>
      <c r="J283" s="141">
        <v>96.220500000000001</v>
      </c>
      <c r="K283" s="141">
        <v>6.8316554999999992</v>
      </c>
      <c r="T283">
        <v>144</v>
      </c>
      <c r="U283">
        <v>0</v>
      </c>
      <c r="V283">
        <v>58</v>
      </c>
      <c r="W283">
        <v>2</v>
      </c>
      <c r="X283">
        <v>1</v>
      </c>
      <c r="Y283">
        <v>6.8316554999999992</v>
      </c>
      <c r="Z283">
        <v>0.11892499999999999</v>
      </c>
      <c r="AA283">
        <v>56</v>
      </c>
      <c r="AB283">
        <v>28</v>
      </c>
    </row>
    <row r="284" spans="1:28" ht="14.25" x14ac:dyDescent="0.2">
      <c r="C284" s="35" t="s">
        <v>97</v>
      </c>
      <c r="D284" s="3"/>
      <c r="E284" s="139">
        <v>820.77</v>
      </c>
      <c r="F284" s="139">
        <v>18.14</v>
      </c>
      <c r="G284" s="140"/>
      <c r="H284" s="140"/>
      <c r="I284" s="140">
        <v>1</v>
      </c>
      <c r="J284" s="139">
        <v>1.675</v>
      </c>
      <c r="K284" s="139">
        <v>0.11892499999999999</v>
      </c>
    </row>
    <row r="285" spans="1:28" x14ac:dyDescent="0.2">
      <c r="C285" s="36" t="s">
        <v>1199</v>
      </c>
    </row>
    <row r="286" spans="1:28" x14ac:dyDescent="0.2">
      <c r="C286" s="20" t="s">
        <v>89</v>
      </c>
      <c r="D286" s="37">
        <v>105</v>
      </c>
      <c r="E286" s="144">
        <v>792.76994999999999</v>
      </c>
      <c r="F286" s="37" t="s">
        <v>1130</v>
      </c>
      <c r="G286" s="143">
        <v>56</v>
      </c>
      <c r="H286" s="37" t="s">
        <v>1131</v>
      </c>
      <c r="I286" s="37"/>
      <c r="J286" s="37"/>
      <c r="K286" s="37"/>
    </row>
    <row r="287" spans="1:28" x14ac:dyDescent="0.2">
      <c r="C287" s="20" t="s">
        <v>92</v>
      </c>
      <c r="D287" s="37">
        <v>55</v>
      </c>
      <c r="E287" s="144">
        <v>392.19042499999995</v>
      </c>
      <c r="F287" s="37" t="s">
        <v>1132</v>
      </c>
      <c r="G287" s="143">
        <v>28</v>
      </c>
      <c r="H287" s="37" t="s">
        <v>1133</v>
      </c>
      <c r="I287" s="37"/>
      <c r="J287" s="37"/>
      <c r="K287" s="37"/>
    </row>
    <row r="288" spans="1:28" x14ac:dyDescent="0.2">
      <c r="C288" s="20" t="s">
        <v>95</v>
      </c>
      <c r="D288" s="37"/>
      <c r="E288" s="144">
        <v>2037.3203749999998</v>
      </c>
      <c r="F288" s="37"/>
      <c r="G288" s="143">
        <v>144</v>
      </c>
      <c r="H288" s="37"/>
      <c r="I288" s="37"/>
      <c r="J288" s="37"/>
      <c r="K288" s="37"/>
    </row>
    <row r="289" spans="1:28" ht="14.25" x14ac:dyDescent="0.2">
      <c r="A289" s="149" t="s">
        <v>393</v>
      </c>
      <c r="B289" s="149" t="s">
        <v>1146</v>
      </c>
      <c r="C289" s="145" t="s">
        <v>1200</v>
      </c>
      <c r="D289" s="3">
        <v>8.7329999999999991E-2</v>
      </c>
      <c r="E289" s="141">
        <v>0</v>
      </c>
      <c r="F289" s="141">
        <v>0</v>
      </c>
      <c r="G289" s="140">
        <v>0</v>
      </c>
      <c r="H289" s="140">
        <v>0</v>
      </c>
      <c r="I289" s="142">
        <v>0</v>
      </c>
      <c r="J289" s="141">
        <v>0</v>
      </c>
      <c r="K289" s="141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</row>
    <row r="290" spans="1:28" ht="14.25" x14ac:dyDescent="0.2">
      <c r="C290" s="35" t="s">
        <v>99</v>
      </c>
      <c r="D290" s="3"/>
      <c r="E290" s="139">
        <v>0</v>
      </c>
      <c r="F290" s="139">
        <v>0</v>
      </c>
      <c r="G290" s="140"/>
      <c r="H290" s="140"/>
      <c r="I290" s="140">
        <v>0</v>
      </c>
      <c r="J290" s="139">
        <v>0</v>
      </c>
      <c r="K290" s="139">
        <v>0</v>
      </c>
    </row>
    <row r="291" spans="1:28" ht="99.75" x14ac:dyDescent="0.2">
      <c r="A291" s="149" t="s">
        <v>186</v>
      </c>
      <c r="B291" s="149" t="s">
        <v>1571</v>
      </c>
      <c r="C291" s="145" t="s">
        <v>1194</v>
      </c>
      <c r="D291" s="3">
        <v>1.8</v>
      </c>
      <c r="E291" s="141">
        <v>182.94</v>
      </c>
      <c r="F291" s="141">
        <v>0</v>
      </c>
      <c r="G291" s="140">
        <v>329</v>
      </c>
      <c r="H291" s="140">
        <v>0</v>
      </c>
      <c r="I291" s="142">
        <v>0</v>
      </c>
      <c r="J291" s="141">
        <v>0</v>
      </c>
      <c r="K291" s="141">
        <v>0</v>
      </c>
      <c r="T291">
        <v>329</v>
      </c>
      <c r="U291">
        <v>329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</row>
    <row r="292" spans="1:28" ht="14.25" x14ac:dyDescent="0.2">
      <c r="C292" s="35" t="s">
        <v>175</v>
      </c>
      <c r="D292" s="3"/>
      <c r="E292" s="139">
        <v>0</v>
      </c>
      <c r="F292" s="139">
        <v>0</v>
      </c>
      <c r="G292" s="140"/>
      <c r="H292" s="140"/>
      <c r="I292" s="140">
        <v>0</v>
      </c>
      <c r="J292" s="139">
        <v>0</v>
      </c>
      <c r="K292" s="139">
        <v>0</v>
      </c>
    </row>
    <row r="293" spans="1:28" x14ac:dyDescent="0.2">
      <c r="C293" s="36" t="s">
        <v>1201</v>
      </c>
    </row>
    <row r="294" spans="1:28" ht="99.75" x14ac:dyDescent="0.2">
      <c r="A294" s="149" t="s">
        <v>187</v>
      </c>
      <c r="B294" s="149" t="s">
        <v>1575</v>
      </c>
      <c r="C294" s="145" t="s">
        <v>1202</v>
      </c>
      <c r="D294" s="3">
        <v>87.33</v>
      </c>
      <c r="E294" s="141">
        <v>2.0699999999999998</v>
      </c>
      <c r="F294" s="141">
        <v>0</v>
      </c>
      <c r="G294" s="140">
        <v>181</v>
      </c>
      <c r="H294" s="140">
        <v>0</v>
      </c>
      <c r="I294" s="142">
        <v>0</v>
      </c>
      <c r="J294" s="141">
        <v>0</v>
      </c>
      <c r="K294" s="141">
        <v>0</v>
      </c>
      <c r="T294">
        <v>181</v>
      </c>
      <c r="U294">
        <v>181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</row>
    <row r="295" spans="1:28" ht="14.25" x14ac:dyDescent="0.2">
      <c r="C295" s="35" t="s">
        <v>175</v>
      </c>
      <c r="D295" s="3"/>
      <c r="E295" s="139">
        <v>0</v>
      </c>
      <c r="F295" s="139">
        <v>0</v>
      </c>
      <c r="G295" s="140"/>
      <c r="H295" s="140"/>
      <c r="I295" s="140">
        <v>0</v>
      </c>
      <c r="J295" s="139">
        <v>0</v>
      </c>
      <c r="K295" s="139">
        <v>0</v>
      </c>
    </row>
    <row r="296" spans="1:28" ht="85.5" x14ac:dyDescent="0.2">
      <c r="A296" s="149" t="s">
        <v>189</v>
      </c>
      <c r="B296" s="149" t="s">
        <v>1576</v>
      </c>
      <c r="C296" s="145" t="s">
        <v>1577</v>
      </c>
      <c r="D296" s="3">
        <v>3.5000000000000003E-2</v>
      </c>
      <c r="E296" s="141">
        <v>454.41</v>
      </c>
      <c r="F296" s="141">
        <v>5.13</v>
      </c>
      <c r="G296" s="140">
        <v>15</v>
      </c>
      <c r="H296" s="140">
        <v>12</v>
      </c>
      <c r="I296" s="142">
        <v>0</v>
      </c>
      <c r="J296" s="141">
        <v>41.41</v>
      </c>
      <c r="K296" s="141">
        <v>1.4493499999999999</v>
      </c>
      <c r="T296">
        <v>33</v>
      </c>
      <c r="U296">
        <v>3</v>
      </c>
      <c r="V296">
        <v>12</v>
      </c>
      <c r="W296">
        <v>0</v>
      </c>
      <c r="X296">
        <v>0</v>
      </c>
      <c r="Y296">
        <v>1.4493499999999999</v>
      </c>
      <c r="Z296">
        <v>4.2000000000000006E-3</v>
      </c>
      <c r="AA296">
        <v>10</v>
      </c>
      <c r="AB296">
        <v>8</v>
      </c>
    </row>
    <row r="297" spans="1:28" ht="14.25" x14ac:dyDescent="0.2">
      <c r="C297" s="35" t="s">
        <v>169</v>
      </c>
      <c r="D297" s="3"/>
      <c r="E297" s="139">
        <v>353.23</v>
      </c>
      <c r="F297" s="139">
        <v>1.54</v>
      </c>
      <c r="G297" s="140"/>
      <c r="H297" s="140"/>
      <c r="I297" s="140">
        <v>0</v>
      </c>
      <c r="J297" s="139">
        <v>0.12</v>
      </c>
      <c r="K297" s="139">
        <v>4.2000000000000006E-3</v>
      </c>
    </row>
    <row r="298" spans="1:28" x14ac:dyDescent="0.2">
      <c r="C298" s="36" t="s">
        <v>1203</v>
      </c>
    </row>
    <row r="299" spans="1:28" x14ac:dyDescent="0.2">
      <c r="C299" s="20" t="s">
        <v>89</v>
      </c>
      <c r="D299" s="37">
        <v>83</v>
      </c>
      <c r="E299" s="144">
        <v>294.45910000000003</v>
      </c>
      <c r="F299" s="37"/>
      <c r="G299" s="143">
        <v>10</v>
      </c>
      <c r="H299" s="37" t="s">
        <v>223</v>
      </c>
      <c r="I299" s="37"/>
      <c r="J299" s="37"/>
      <c r="K299" s="37"/>
    </row>
    <row r="300" spans="1:28" x14ac:dyDescent="0.2">
      <c r="C300" s="20" t="s">
        <v>92</v>
      </c>
      <c r="D300" s="37">
        <v>65</v>
      </c>
      <c r="E300" s="144">
        <v>230.60050000000004</v>
      </c>
      <c r="F300" s="37"/>
      <c r="G300" s="143">
        <v>8</v>
      </c>
      <c r="H300" s="37" t="s">
        <v>202</v>
      </c>
      <c r="I300" s="37"/>
      <c r="J300" s="37"/>
      <c r="K300" s="37"/>
    </row>
    <row r="301" spans="1:28" x14ac:dyDescent="0.2">
      <c r="C301" s="20" t="s">
        <v>95</v>
      </c>
      <c r="D301" s="37"/>
      <c r="E301" s="144">
        <v>979.46960000000013</v>
      </c>
      <c r="F301" s="37"/>
      <c r="G301" s="143">
        <v>33</v>
      </c>
      <c r="H301" s="37"/>
      <c r="I301" s="37"/>
      <c r="J301" s="37"/>
      <c r="K301" s="37"/>
    </row>
    <row r="302" spans="1:28" ht="14.25" x14ac:dyDescent="0.2">
      <c r="A302" s="149" t="s">
        <v>190</v>
      </c>
      <c r="B302" s="149" t="s">
        <v>1146</v>
      </c>
      <c r="C302" s="145" t="s">
        <v>1578</v>
      </c>
      <c r="D302" s="3">
        <v>6.4400000000000004E-3</v>
      </c>
      <c r="E302" s="141">
        <v>0</v>
      </c>
      <c r="F302" s="141">
        <v>0</v>
      </c>
      <c r="G302" s="140">
        <v>0</v>
      </c>
      <c r="H302" s="140">
        <v>0</v>
      </c>
      <c r="I302" s="142">
        <v>0</v>
      </c>
      <c r="J302" s="141">
        <v>0</v>
      </c>
      <c r="K302" s="141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</row>
    <row r="303" spans="1:28" ht="14.25" x14ac:dyDescent="0.2">
      <c r="C303" s="35" t="s">
        <v>99</v>
      </c>
      <c r="D303" s="3"/>
      <c r="E303" s="139">
        <v>0</v>
      </c>
      <c r="F303" s="139">
        <v>0</v>
      </c>
      <c r="G303" s="140"/>
      <c r="H303" s="140"/>
      <c r="I303" s="140">
        <v>0</v>
      </c>
      <c r="J303" s="139">
        <v>0</v>
      </c>
      <c r="K303" s="139">
        <v>0</v>
      </c>
    </row>
    <row r="304" spans="1:28" ht="14.25" x14ac:dyDescent="0.2">
      <c r="A304" s="149" t="s">
        <v>1579</v>
      </c>
      <c r="B304" s="149" t="s">
        <v>1146</v>
      </c>
      <c r="C304" s="145" t="s">
        <v>98</v>
      </c>
      <c r="D304" s="3">
        <v>7.8400000000000015E-3</v>
      </c>
      <c r="E304" s="141">
        <v>0</v>
      </c>
      <c r="F304" s="141">
        <v>0</v>
      </c>
      <c r="G304" s="140">
        <v>0</v>
      </c>
      <c r="H304" s="140">
        <v>0</v>
      </c>
      <c r="I304" s="142">
        <v>0</v>
      </c>
      <c r="J304" s="141">
        <v>0</v>
      </c>
      <c r="K304" s="141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</row>
    <row r="305" spans="1:28" ht="14.25" x14ac:dyDescent="0.2">
      <c r="C305" s="35" t="s">
        <v>99</v>
      </c>
      <c r="D305" s="3"/>
      <c r="E305" s="139">
        <v>0</v>
      </c>
      <c r="F305" s="139">
        <v>0</v>
      </c>
      <c r="G305" s="140"/>
      <c r="H305" s="140"/>
      <c r="I305" s="140">
        <v>0</v>
      </c>
      <c r="J305" s="139">
        <v>0</v>
      </c>
      <c r="K305" s="139">
        <v>0</v>
      </c>
    </row>
    <row r="306" spans="1:28" ht="99.75" x14ac:dyDescent="0.2">
      <c r="A306" s="149" t="s">
        <v>191</v>
      </c>
      <c r="B306" s="149" t="s">
        <v>1580</v>
      </c>
      <c r="C306" s="145" t="s">
        <v>1581</v>
      </c>
      <c r="D306" s="3">
        <v>3.5</v>
      </c>
      <c r="E306" s="141">
        <v>26.41</v>
      </c>
      <c r="F306" s="141">
        <v>0</v>
      </c>
      <c r="G306" s="140">
        <v>92</v>
      </c>
      <c r="H306" s="140">
        <v>0</v>
      </c>
      <c r="I306" s="142">
        <v>0</v>
      </c>
      <c r="J306" s="141">
        <v>0</v>
      </c>
      <c r="K306" s="141">
        <v>0</v>
      </c>
      <c r="T306">
        <v>92</v>
      </c>
      <c r="U306">
        <v>92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</row>
    <row r="307" spans="1:28" ht="14.25" x14ac:dyDescent="0.2">
      <c r="C307" s="35" t="s">
        <v>171</v>
      </c>
      <c r="D307" s="3"/>
      <c r="E307" s="139">
        <v>0</v>
      </c>
      <c r="F307" s="139">
        <v>0</v>
      </c>
      <c r="G307" s="140"/>
      <c r="H307" s="140"/>
      <c r="I307" s="140">
        <v>0</v>
      </c>
      <c r="J307" s="139">
        <v>0</v>
      </c>
      <c r="K307" s="139">
        <v>0</v>
      </c>
    </row>
    <row r="309" spans="1:28" ht="15" x14ac:dyDescent="0.25">
      <c r="A309" s="4"/>
      <c r="B309" s="4"/>
      <c r="C309" s="187" t="s">
        <v>1207</v>
      </c>
      <c r="D309" s="187"/>
      <c r="E309" s="187"/>
      <c r="F309" s="187"/>
      <c r="G309" s="136">
        <f>IF(SUM(T184:T308)=0, "-", SUM(T184:T308))</f>
        <v>112675</v>
      </c>
      <c r="H309" s="136">
        <f>IF(SUM(V184:V308)=0, "-", SUM(V184:V308))</f>
        <v>1343</v>
      </c>
      <c r="I309" s="138">
        <f>IF(SUM(W184:W308)=0, "-", SUM(W184:W308))</f>
        <v>359</v>
      </c>
      <c r="J309" s="136"/>
      <c r="K309" s="137">
        <f>IF(SUM(Y184:Y308)=0, "-", SUM(Y184:Y308))</f>
        <v>141.291144</v>
      </c>
    </row>
    <row r="310" spans="1:28" ht="15" x14ac:dyDescent="0.25">
      <c r="A310" s="4"/>
      <c r="B310" s="4"/>
      <c r="C310" s="4"/>
      <c r="D310" s="4"/>
      <c r="E310" s="4"/>
      <c r="F310" s="4"/>
      <c r="G310" s="136"/>
      <c r="H310" s="136"/>
      <c r="I310" s="136">
        <f>IF(SUM(X184:X308)=0, "-", SUM(X184:X308))</f>
        <v>47</v>
      </c>
      <c r="J310" s="136"/>
      <c r="K310" s="135">
        <f>IF(SUM(Z184:Z308)=0, "-", SUM(Z184:Z308))</f>
        <v>3.9561250000000001</v>
      </c>
    </row>
    <row r="313" spans="1:28" ht="14.25" x14ac:dyDescent="0.2">
      <c r="C313" s="183" t="s">
        <v>127</v>
      </c>
      <c r="D313" s="183"/>
      <c r="E313" s="183"/>
      <c r="F313" s="183"/>
      <c r="G313" s="183"/>
      <c r="H313" s="172">
        <v>1343</v>
      </c>
      <c r="I313" s="172"/>
    </row>
    <row r="314" spans="1:28" ht="14.25" x14ac:dyDescent="0.2">
      <c r="C314" s="183" t="s">
        <v>128</v>
      </c>
      <c r="D314" s="183"/>
      <c r="E314" s="183"/>
      <c r="F314" s="183"/>
      <c r="G314" s="183"/>
      <c r="H314" s="172">
        <v>359</v>
      </c>
      <c r="I314" s="172"/>
    </row>
    <row r="315" spans="1:28" ht="14.25" x14ac:dyDescent="0.2">
      <c r="C315" s="183" t="s">
        <v>129</v>
      </c>
      <c r="D315" s="183"/>
      <c r="E315" s="183"/>
      <c r="F315" s="183"/>
      <c r="G315" s="183"/>
      <c r="H315" s="172">
        <v>108852</v>
      </c>
      <c r="I315" s="172"/>
    </row>
    <row r="316" spans="1:28" ht="14.25" x14ac:dyDescent="0.2">
      <c r="C316" s="183" t="s">
        <v>130</v>
      </c>
      <c r="D316" s="183"/>
      <c r="E316" s="183"/>
      <c r="F316" s="183"/>
      <c r="G316" s="183"/>
      <c r="H316" s="172">
        <v>1266</v>
      </c>
      <c r="I316" s="172"/>
    </row>
    <row r="317" spans="1:28" ht="14.25" x14ac:dyDescent="0.2">
      <c r="C317" s="183" t="s">
        <v>131</v>
      </c>
      <c r="D317" s="183"/>
      <c r="E317" s="183"/>
      <c r="F317" s="183"/>
      <c r="G317" s="183"/>
      <c r="H317" s="172">
        <v>855</v>
      </c>
      <c r="I317" s="172"/>
    </row>
    <row r="318" spans="1:28" ht="14.25" x14ac:dyDescent="0.2">
      <c r="C318" s="183" t="s">
        <v>134</v>
      </c>
      <c r="D318" s="183"/>
      <c r="E318" s="183"/>
      <c r="F318" s="183"/>
      <c r="G318" s="183"/>
      <c r="H318" s="172">
        <v>112675</v>
      </c>
      <c r="I318" s="172"/>
    </row>
    <row r="320" spans="1:28" ht="16.5" x14ac:dyDescent="0.25">
      <c r="A320" s="186" t="s">
        <v>1208</v>
      </c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</row>
    <row r="322" spans="1:29" ht="45" x14ac:dyDescent="0.25">
      <c r="B322" s="188" t="s">
        <v>1209</v>
      </c>
      <c r="C322" s="188"/>
      <c r="D322" s="188"/>
      <c r="E322" s="188"/>
      <c r="F322" s="188"/>
      <c r="G322" s="188"/>
      <c r="H322" s="188"/>
      <c r="I322" s="188"/>
      <c r="J322" s="188"/>
      <c r="AC322" s="147" t="s">
        <v>1209</v>
      </c>
    </row>
    <row r="323" spans="1:29" ht="105" x14ac:dyDescent="0.2">
      <c r="A323" s="149" t="s">
        <v>192</v>
      </c>
      <c r="B323" s="149" t="s">
        <v>1511</v>
      </c>
      <c r="C323" s="145" t="s">
        <v>1118</v>
      </c>
      <c r="D323" s="3">
        <v>2.8380000000000001</v>
      </c>
      <c r="E323" s="141">
        <v>388.12</v>
      </c>
      <c r="F323" s="141">
        <v>54.52</v>
      </c>
      <c r="G323" s="140">
        <v>1102</v>
      </c>
      <c r="H323" s="140">
        <v>923</v>
      </c>
      <c r="I323" s="142">
        <v>155</v>
      </c>
      <c r="J323" s="141">
        <v>40.94</v>
      </c>
      <c r="K323" s="141">
        <v>116.18772</v>
      </c>
      <c r="T323">
        <v>2818</v>
      </c>
      <c r="U323">
        <v>24</v>
      </c>
      <c r="V323">
        <v>923</v>
      </c>
      <c r="W323">
        <v>155</v>
      </c>
      <c r="X323">
        <v>61</v>
      </c>
      <c r="Y323">
        <v>116.18772</v>
      </c>
      <c r="Z323">
        <v>4.505325</v>
      </c>
      <c r="AA323">
        <v>1089</v>
      </c>
      <c r="AB323">
        <v>627</v>
      </c>
    </row>
    <row r="324" spans="1:29" ht="14.25" x14ac:dyDescent="0.2">
      <c r="C324" s="35" t="s">
        <v>97</v>
      </c>
      <c r="D324" s="3"/>
      <c r="E324" s="139">
        <v>325.06</v>
      </c>
      <c r="F324" s="139">
        <v>21.44</v>
      </c>
      <c r="G324" s="140"/>
      <c r="H324" s="140"/>
      <c r="I324" s="140">
        <v>61</v>
      </c>
      <c r="J324" s="139">
        <v>1.5874999999999999</v>
      </c>
      <c r="K324" s="139">
        <v>4.505325</v>
      </c>
    </row>
    <row r="325" spans="1:29" x14ac:dyDescent="0.2">
      <c r="C325" s="36" t="s">
        <v>1210</v>
      </c>
    </row>
    <row r="326" spans="1:29" x14ac:dyDescent="0.2">
      <c r="C326" s="20" t="s">
        <v>89</v>
      </c>
      <c r="D326" s="37">
        <v>123</v>
      </c>
      <c r="E326" s="144">
        <v>383.57550000000003</v>
      </c>
      <c r="F326" s="37" t="s">
        <v>1211</v>
      </c>
      <c r="G326" s="143">
        <v>1089</v>
      </c>
      <c r="H326" s="37" t="s">
        <v>1212</v>
      </c>
      <c r="I326" s="37"/>
      <c r="J326" s="37"/>
      <c r="K326" s="37"/>
    </row>
    <row r="327" spans="1:29" x14ac:dyDescent="0.2">
      <c r="C327" s="20" t="s">
        <v>92</v>
      </c>
      <c r="D327" s="37">
        <v>75</v>
      </c>
      <c r="E327" s="144">
        <v>220.89375000000001</v>
      </c>
      <c r="F327" s="37" t="s">
        <v>1213</v>
      </c>
      <c r="G327" s="143">
        <v>627</v>
      </c>
      <c r="H327" s="37" t="s">
        <v>1214</v>
      </c>
      <c r="I327" s="37"/>
      <c r="J327" s="37"/>
      <c r="K327" s="37"/>
    </row>
    <row r="328" spans="1:29" x14ac:dyDescent="0.2">
      <c r="C328" s="20" t="s">
        <v>95</v>
      </c>
      <c r="D328" s="37"/>
      <c r="E328" s="144">
        <v>992.58925000000011</v>
      </c>
      <c r="F328" s="37"/>
      <c r="G328" s="143">
        <v>2818</v>
      </c>
      <c r="H328" s="37"/>
      <c r="I328" s="37"/>
      <c r="J328" s="37"/>
      <c r="K328" s="37"/>
    </row>
    <row r="329" spans="1:29" ht="28.5" x14ac:dyDescent="0.2">
      <c r="A329" s="149" t="s">
        <v>193</v>
      </c>
      <c r="B329" s="149" t="s">
        <v>1146</v>
      </c>
      <c r="C329" s="145" t="s">
        <v>1215</v>
      </c>
      <c r="D329" s="3">
        <v>5.7895200000000004</v>
      </c>
      <c r="E329" s="141">
        <v>0</v>
      </c>
      <c r="F329" s="141">
        <v>0</v>
      </c>
      <c r="G329" s="140">
        <v>0</v>
      </c>
      <c r="H329" s="140">
        <v>0</v>
      </c>
      <c r="I329" s="142">
        <v>0</v>
      </c>
      <c r="J329" s="141">
        <v>0</v>
      </c>
      <c r="K329" s="141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</row>
    <row r="330" spans="1:29" ht="14.25" x14ac:dyDescent="0.2">
      <c r="C330" s="35" t="s">
        <v>88</v>
      </c>
      <c r="D330" s="3"/>
      <c r="E330" s="139">
        <v>0</v>
      </c>
      <c r="F330" s="139">
        <v>0</v>
      </c>
      <c r="G330" s="140"/>
      <c r="H330" s="140"/>
      <c r="I330" s="140">
        <v>0</v>
      </c>
      <c r="J330" s="139">
        <v>0</v>
      </c>
      <c r="K330" s="139">
        <v>0</v>
      </c>
    </row>
    <row r="331" spans="1:29" ht="99.75" x14ac:dyDescent="0.2">
      <c r="A331" s="149" t="s">
        <v>194</v>
      </c>
      <c r="B331" s="149" t="s">
        <v>1407</v>
      </c>
      <c r="C331" s="145" t="s">
        <v>1155</v>
      </c>
      <c r="D331" s="3">
        <v>5.79</v>
      </c>
      <c r="E331" s="141">
        <v>519.79999999999995</v>
      </c>
      <c r="F331" s="141">
        <v>0</v>
      </c>
      <c r="G331" s="140">
        <v>3010</v>
      </c>
      <c r="H331" s="140">
        <v>0</v>
      </c>
      <c r="I331" s="142">
        <v>0</v>
      </c>
      <c r="J331" s="141">
        <v>0</v>
      </c>
      <c r="K331" s="141">
        <v>0</v>
      </c>
      <c r="T331">
        <v>3010</v>
      </c>
      <c r="U331">
        <v>3010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</row>
    <row r="332" spans="1:29" ht="14.25" x14ac:dyDescent="0.2">
      <c r="C332" s="35" t="s">
        <v>88</v>
      </c>
      <c r="D332" s="3"/>
      <c r="E332" s="139">
        <v>0</v>
      </c>
      <c r="F332" s="139">
        <v>0</v>
      </c>
      <c r="G332" s="140"/>
      <c r="H332" s="140"/>
      <c r="I332" s="140">
        <v>0</v>
      </c>
      <c r="J332" s="139">
        <v>0</v>
      </c>
      <c r="K332" s="139">
        <v>0</v>
      </c>
    </row>
    <row r="333" spans="1:29" ht="146.25" x14ac:dyDescent="0.2">
      <c r="A333" s="149" t="s">
        <v>195</v>
      </c>
      <c r="B333" s="149" t="s">
        <v>1512</v>
      </c>
      <c r="C333" s="145" t="s">
        <v>1370</v>
      </c>
      <c r="D333" s="3">
        <v>2.8380000000000001</v>
      </c>
      <c r="E333" s="141">
        <v>26.93</v>
      </c>
      <c r="F333" s="141">
        <v>18.899999999999999</v>
      </c>
      <c r="G333" s="140">
        <v>77</v>
      </c>
      <c r="H333" s="140">
        <v>23</v>
      </c>
      <c r="I333" s="142">
        <v>54</v>
      </c>
      <c r="J333" s="141">
        <v>1.012</v>
      </c>
      <c r="K333" s="141">
        <v>2.8720560000000002</v>
      </c>
      <c r="T333">
        <v>152</v>
      </c>
      <c r="U333">
        <v>0</v>
      </c>
      <c r="V333">
        <v>23</v>
      </c>
      <c r="W333">
        <v>54</v>
      </c>
      <c r="X333">
        <v>20</v>
      </c>
      <c r="Y333">
        <v>2.8720560000000002</v>
      </c>
      <c r="Z333">
        <v>1.4899500000000001</v>
      </c>
      <c r="AA333">
        <v>48</v>
      </c>
      <c r="AB333">
        <v>27</v>
      </c>
    </row>
    <row r="334" spans="1:29" ht="14.25" x14ac:dyDescent="0.2">
      <c r="C334" s="35" t="s">
        <v>97</v>
      </c>
      <c r="D334" s="3"/>
      <c r="E334" s="139">
        <v>8.0299999999999994</v>
      </c>
      <c r="F334" s="139">
        <v>7.1</v>
      </c>
      <c r="G334" s="140"/>
      <c r="H334" s="140"/>
      <c r="I334" s="140">
        <v>20</v>
      </c>
      <c r="J334" s="139">
        <v>0.52500000000000002</v>
      </c>
      <c r="K334" s="139">
        <v>1.4899500000000001</v>
      </c>
    </row>
    <row r="335" spans="1:29" x14ac:dyDescent="0.2">
      <c r="C335" s="36" t="s">
        <v>1210</v>
      </c>
    </row>
    <row r="336" spans="1:29" x14ac:dyDescent="0.2">
      <c r="C336" s="20" t="s">
        <v>89</v>
      </c>
      <c r="D336" s="37">
        <v>123</v>
      </c>
      <c r="E336" s="144">
        <v>16.748909999999999</v>
      </c>
      <c r="F336" s="37" t="s">
        <v>1211</v>
      </c>
      <c r="G336" s="143">
        <v>48</v>
      </c>
      <c r="H336" s="37" t="s">
        <v>1212</v>
      </c>
      <c r="I336" s="37"/>
      <c r="J336" s="37"/>
      <c r="K336" s="37"/>
    </row>
    <row r="337" spans="1:28" x14ac:dyDescent="0.2">
      <c r="C337" s="20" t="s">
        <v>92</v>
      </c>
      <c r="D337" s="37">
        <v>75</v>
      </c>
      <c r="E337" s="144">
        <v>9.6453749999999996</v>
      </c>
      <c r="F337" s="37" t="s">
        <v>1213</v>
      </c>
      <c r="G337" s="143">
        <v>27</v>
      </c>
      <c r="H337" s="37" t="s">
        <v>1214</v>
      </c>
      <c r="I337" s="37"/>
      <c r="J337" s="37"/>
      <c r="K337" s="37"/>
    </row>
    <row r="338" spans="1:28" x14ac:dyDescent="0.2">
      <c r="C338" s="20" t="s">
        <v>95</v>
      </c>
      <c r="D338" s="37"/>
      <c r="E338" s="144">
        <v>53.324284999999996</v>
      </c>
      <c r="F338" s="37"/>
      <c r="G338" s="143">
        <v>152</v>
      </c>
      <c r="H338" s="37"/>
      <c r="I338" s="37"/>
      <c r="J338" s="37"/>
      <c r="K338" s="37"/>
    </row>
    <row r="339" spans="1:28" ht="28.5" x14ac:dyDescent="0.2">
      <c r="A339" s="149" t="s">
        <v>1216</v>
      </c>
      <c r="B339" s="149" t="s">
        <v>1146</v>
      </c>
      <c r="C339" s="145" t="s">
        <v>1215</v>
      </c>
      <c r="D339" s="3">
        <v>2.8947600000000002</v>
      </c>
      <c r="E339" s="141">
        <v>0</v>
      </c>
      <c r="F339" s="141">
        <v>0</v>
      </c>
      <c r="G339" s="140">
        <v>0</v>
      </c>
      <c r="H339" s="140">
        <v>0</v>
      </c>
      <c r="I339" s="142">
        <v>0</v>
      </c>
      <c r="J339" s="141">
        <v>0</v>
      </c>
      <c r="K339" s="141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</row>
    <row r="340" spans="1:28" ht="14.25" x14ac:dyDescent="0.2">
      <c r="C340" s="35" t="s">
        <v>88</v>
      </c>
      <c r="D340" s="3"/>
      <c r="E340" s="139">
        <v>0</v>
      </c>
      <c r="F340" s="139">
        <v>0</v>
      </c>
      <c r="G340" s="140"/>
      <c r="H340" s="140"/>
      <c r="I340" s="140">
        <v>0</v>
      </c>
      <c r="J340" s="139">
        <v>0</v>
      </c>
      <c r="K340" s="139">
        <v>0</v>
      </c>
    </row>
    <row r="341" spans="1:28" ht="99.75" x14ac:dyDescent="0.2">
      <c r="A341" s="149" t="s">
        <v>196</v>
      </c>
      <c r="B341" s="149" t="s">
        <v>1407</v>
      </c>
      <c r="C341" s="145" t="s">
        <v>1155</v>
      </c>
      <c r="D341" s="3">
        <v>2.895</v>
      </c>
      <c r="E341" s="141">
        <v>519.79999999999995</v>
      </c>
      <c r="F341" s="141">
        <v>0</v>
      </c>
      <c r="G341" s="140">
        <v>1505</v>
      </c>
      <c r="H341" s="140">
        <v>0</v>
      </c>
      <c r="I341" s="142">
        <v>0</v>
      </c>
      <c r="J341" s="141">
        <v>0</v>
      </c>
      <c r="K341" s="141">
        <v>0</v>
      </c>
      <c r="T341">
        <v>1505</v>
      </c>
      <c r="U341">
        <v>1505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</row>
    <row r="342" spans="1:28" ht="14.25" x14ac:dyDescent="0.2">
      <c r="C342" s="35" t="s">
        <v>88</v>
      </c>
      <c r="D342" s="3"/>
      <c r="E342" s="139">
        <v>0</v>
      </c>
      <c r="F342" s="139">
        <v>0</v>
      </c>
      <c r="G342" s="140"/>
      <c r="H342" s="140"/>
      <c r="I342" s="140">
        <v>0</v>
      </c>
      <c r="J342" s="139">
        <v>0</v>
      </c>
      <c r="K342" s="139">
        <v>0</v>
      </c>
    </row>
    <row r="343" spans="1:28" ht="105" x14ac:dyDescent="0.2">
      <c r="A343" s="149" t="s">
        <v>197</v>
      </c>
      <c r="B343" s="149" t="s">
        <v>1513</v>
      </c>
      <c r="C343" s="145" t="s">
        <v>1119</v>
      </c>
      <c r="D343" s="3">
        <v>2.8380000000000001</v>
      </c>
      <c r="E343" s="141">
        <v>17562.189999999999</v>
      </c>
      <c r="F343" s="141">
        <v>30.52</v>
      </c>
      <c r="G343" s="140">
        <v>49842</v>
      </c>
      <c r="H343" s="140">
        <v>8855</v>
      </c>
      <c r="I343" s="142">
        <v>87</v>
      </c>
      <c r="J343" s="141">
        <v>356.983</v>
      </c>
      <c r="K343" s="141">
        <v>1013.117754</v>
      </c>
      <c r="T343">
        <v>65398</v>
      </c>
      <c r="U343">
        <v>40900</v>
      </c>
      <c r="V343">
        <v>8855</v>
      </c>
      <c r="W343">
        <v>87</v>
      </c>
      <c r="X343">
        <v>62</v>
      </c>
      <c r="Y343">
        <v>1013.117754</v>
      </c>
      <c r="Z343">
        <v>6.137175</v>
      </c>
      <c r="AA343">
        <v>9871</v>
      </c>
      <c r="AB343">
        <v>5685</v>
      </c>
    </row>
    <row r="344" spans="1:28" ht="14.25" x14ac:dyDescent="0.2">
      <c r="C344" s="35" t="s">
        <v>97</v>
      </c>
      <c r="D344" s="3"/>
      <c r="E344" s="139">
        <v>3120.03</v>
      </c>
      <c r="F344" s="139">
        <v>21.91</v>
      </c>
      <c r="G344" s="140"/>
      <c r="H344" s="140"/>
      <c r="I344" s="140">
        <v>62</v>
      </c>
      <c r="J344" s="139">
        <v>2.1625000000000001</v>
      </c>
      <c r="K344" s="139">
        <v>6.137175</v>
      </c>
    </row>
    <row r="345" spans="1:28" x14ac:dyDescent="0.2">
      <c r="C345" s="36" t="s">
        <v>1210</v>
      </c>
    </row>
    <row r="346" spans="1:28" x14ac:dyDescent="0.2">
      <c r="C346" s="20" t="s">
        <v>89</v>
      </c>
      <c r="D346" s="37">
        <v>123</v>
      </c>
      <c r="E346" s="144">
        <v>3478.1275800000003</v>
      </c>
      <c r="F346" s="37" t="s">
        <v>1211</v>
      </c>
      <c r="G346" s="143">
        <v>9871</v>
      </c>
      <c r="H346" s="37" t="s">
        <v>1212</v>
      </c>
      <c r="I346" s="37"/>
      <c r="J346" s="37"/>
      <c r="K346" s="37"/>
    </row>
    <row r="347" spans="1:28" x14ac:dyDescent="0.2">
      <c r="C347" s="20" t="s">
        <v>92</v>
      </c>
      <c r="D347" s="37">
        <v>75</v>
      </c>
      <c r="E347" s="144">
        <v>2002.9867500000003</v>
      </c>
      <c r="F347" s="37" t="s">
        <v>1213</v>
      </c>
      <c r="G347" s="143">
        <v>5685</v>
      </c>
      <c r="H347" s="37" t="s">
        <v>1214</v>
      </c>
      <c r="I347" s="37"/>
      <c r="J347" s="37"/>
      <c r="K347" s="37"/>
    </row>
    <row r="348" spans="1:28" x14ac:dyDescent="0.2">
      <c r="C348" s="20" t="s">
        <v>95</v>
      </c>
      <c r="D348" s="37"/>
      <c r="E348" s="144">
        <v>23043.304329999999</v>
      </c>
      <c r="F348" s="37"/>
      <c r="G348" s="143">
        <v>65398</v>
      </c>
      <c r="H348" s="37"/>
      <c r="I348" s="37"/>
      <c r="J348" s="37"/>
      <c r="K348" s="37"/>
    </row>
    <row r="349" spans="1:28" ht="14.25" x14ac:dyDescent="0.2">
      <c r="A349" s="149" t="s">
        <v>1221</v>
      </c>
      <c r="B349" s="149" t="s">
        <v>1146</v>
      </c>
      <c r="C349" s="145" t="s">
        <v>1217</v>
      </c>
      <c r="D349" s="3">
        <v>2.8380000000000002E-2</v>
      </c>
      <c r="E349" s="141">
        <v>0</v>
      </c>
      <c r="F349" s="141">
        <v>0</v>
      </c>
      <c r="G349" s="140">
        <v>0</v>
      </c>
      <c r="H349" s="140">
        <v>0</v>
      </c>
      <c r="I349" s="142">
        <v>0</v>
      </c>
      <c r="J349" s="141">
        <v>0</v>
      </c>
      <c r="K349" s="141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</row>
    <row r="350" spans="1:28" ht="14.25" x14ac:dyDescent="0.2">
      <c r="C350" s="35" t="s">
        <v>88</v>
      </c>
      <c r="D350" s="3"/>
      <c r="E350" s="139">
        <v>0</v>
      </c>
      <c r="F350" s="139">
        <v>0</v>
      </c>
      <c r="G350" s="140"/>
      <c r="H350" s="140"/>
      <c r="I350" s="140">
        <v>0</v>
      </c>
      <c r="J350" s="139">
        <v>0</v>
      </c>
      <c r="K350" s="139">
        <v>0</v>
      </c>
    </row>
    <row r="351" spans="1:28" ht="28.5" x14ac:dyDescent="0.2">
      <c r="A351" s="149" t="s">
        <v>1514</v>
      </c>
      <c r="B351" s="149" t="s">
        <v>1146</v>
      </c>
      <c r="C351" s="145" t="s">
        <v>1242</v>
      </c>
      <c r="D351" s="3">
        <v>3.4056000000000002</v>
      </c>
      <c r="E351" s="141">
        <v>0</v>
      </c>
      <c r="F351" s="141">
        <v>0</v>
      </c>
      <c r="G351" s="140">
        <v>0</v>
      </c>
      <c r="H351" s="140">
        <v>0</v>
      </c>
      <c r="I351" s="142">
        <v>0</v>
      </c>
      <c r="J351" s="141">
        <v>0</v>
      </c>
      <c r="K351" s="14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</row>
    <row r="352" spans="1:28" ht="14.25" x14ac:dyDescent="0.2">
      <c r="C352" s="35" t="s">
        <v>99</v>
      </c>
      <c r="D352" s="3"/>
      <c r="E352" s="139">
        <v>0</v>
      </c>
      <c r="F352" s="139">
        <v>0</v>
      </c>
      <c r="G352" s="140"/>
      <c r="H352" s="140"/>
      <c r="I352" s="140">
        <v>0</v>
      </c>
      <c r="J352" s="139">
        <v>0</v>
      </c>
      <c r="K352" s="139">
        <v>0</v>
      </c>
    </row>
    <row r="353" spans="1:29" ht="99.75" x14ac:dyDescent="0.2">
      <c r="A353" s="149" t="s">
        <v>198</v>
      </c>
      <c r="B353" s="149" t="s">
        <v>1515</v>
      </c>
      <c r="C353" s="145" t="s">
        <v>1218</v>
      </c>
      <c r="D353" s="3">
        <v>5.7000000000000002E-2</v>
      </c>
      <c r="E353" s="141">
        <v>18390.16</v>
      </c>
      <c r="F353" s="141">
        <v>0</v>
      </c>
      <c r="G353" s="140">
        <v>1048</v>
      </c>
      <c r="H353" s="140">
        <v>0</v>
      </c>
      <c r="I353" s="142">
        <v>0</v>
      </c>
      <c r="J353" s="141">
        <v>0</v>
      </c>
      <c r="K353" s="141">
        <v>0</v>
      </c>
      <c r="T353">
        <v>1048</v>
      </c>
      <c r="U353">
        <v>1048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</row>
    <row r="354" spans="1:29" ht="14.25" x14ac:dyDescent="0.2">
      <c r="C354" s="35" t="s">
        <v>99</v>
      </c>
      <c r="D354" s="3"/>
      <c r="E354" s="139">
        <v>0</v>
      </c>
      <c r="F354" s="139">
        <v>0</v>
      </c>
      <c r="G354" s="140"/>
      <c r="H354" s="140"/>
      <c r="I354" s="140">
        <v>0</v>
      </c>
      <c r="J354" s="139">
        <v>0</v>
      </c>
      <c r="K354" s="139">
        <v>0</v>
      </c>
    </row>
    <row r="355" spans="1:29" x14ac:dyDescent="0.2">
      <c r="C355" s="36" t="s">
        <v>1516</v>
      </c>
    </row>
    <row r="357" spans="1:29" ht="45" x14ac:dyDescent="0.25">
      <c r="B357" s="188" t="s">
        <v>1219</v>
      </c>
      <c r="C357" s="188"/>
      <c r="D357" s="188"/>
      <c r="E357" s="188"/>
      <c r="F357" s="188"/>
      <c r="G357" s="188"/>
      <c r="H357" s="188"/>
      <c r="I357" s="188"/>
      <c r="J357" s="188"/>
      <c r="AC357" s="147" t="s">
        <v>1219</v>
      </c>
    </row>
    <row r="358" spans="1:29" ht="105" x14ac:dyDescent="0.2">
      <c r="A358" s="149" t="s">
        <v>199</v>
      </c>
      <c r="B358" s="149" t="s">
        <v>1511</v>
      </c>
      <c r="C358" s="145" t="s">
        <v>1118</v>
      </c>
      <c r="D358" s="3">
        <v>2.0310000000000001</v>
      </c>
      <c r="E358" s="141">
        <v>388.12</v>
      </c>
      <c r="F358" s="141">
        <v>54.52</v>
      </c>
      <c r="G358" s="140">
        <v>788</v>
      </c>
      <c r="H358" s="140">
        <v>660</v>
      </c>
      <c r="I358" s="142">
        <v>111</v>
      </c>
      <c r="J358" s="141">
        <v>40.94</v>
      </c>
      <c r="K358" s="141">
        <v>83.149140000000003</v>
      </c>
      <c r="T358">
        <v>2016</v>
      </c>
      <c r="U358">
        <v>17</v>
      </c>
      <c r="V358">
        <v>660</v>
      </c>
      <c r="W358">
        <v>111</v>
      </c>
      <c r="X358">
        <v>44</v>
      </c>
      <c r="Y358">
        <v>83.149140000000003</v>
      </c>
      <c r="Z358">
        <v>3.2242125000000001</v>
      </c>
      <c r="AA358">
        <v>779</v>
      </c>
      <c r="AB358">
        <v>449</v>
      </c>
    </row>
    <row r="359" spans="1:29" ht="14.25" x14ac:dyDescent="0.2">
      <c r="C359" s="35" t="s">
        <v>97</v>
      </c>
      <c r="D359" s="3"/>
      <c r="E359" s="139">
        <v>325.06</v>
      </c>
      <c r="F359" s="139">
        <v>21.44</v>
      </c>
      <c r="G359" s="140"/>
      <c r="H359" s="140"/>
      <c r="I359" s="140">
        <v>44</v>
      </c>
      <c r="J359" s="139">
        <v>1.5874999999999999</v>
      </c>
      <c r="K359" s="139">
        <v>3.2242125000000001</v>
      </c>
    </row>
    <row r="360" spans="1:29" x14ac:dyDescent="0.2">
      <c r="C360" s="36" t="s">
        <v>1220</v>
      </c>
    </row>
    <row r="361" spans="1:29" x14ac:dyDescent="0.2">
      <c r="C361" s="20" t="s">
        <v>89</v>
      </c>
      <c r="D361" s="37">
        <v>123</v>
      </c>
      <c r="E361" s="144">
        <v>383.57550000000003</v>
      </c>
      <c r="F361" s="37" t="s">
        <v>1211</v>
      </c>
      <c r="G361" s="143">
        <v>779</v>
      </c>
      <c r="H361" s="37" t="s">
        <v>1212</v>
      </c>
      <c r="I361" s="37"/>
      <c r="J361" s="37"/>
      <c r="K361" s="37"/>
    </row>
    <row r="362" spans="1:29" x14ac:dyDescent="0.2">
      <c r="C362" s="20" t="s">
        <v>92</v>
      </c>
      <c r="D362" s="37">
        <v>75</v>
      </c>
      <c r="E362" s="144">
        <v>220.89375000000001</v>
      </c>
      <c r="F362" s="37" t="s">
        <v>1213</v>
      </c>
      <c r="G362" s="143">
        <v>449</v>
      </c>
      <c r="H362" s="37" t="s">
        <v>1214</v>
      </c>
      <c r="I362" s="37"/>
      <c r="J362" s="37"/>
      <c r="K362" s="37"/>
    </row>
    <row r="363" spans="1:29" x14ac:dyDescent="0.2">
      <c r="C363" s="20" t="s">
        <v>95</v>
      </c>
      <c r="D363" s="37"/>
      <c r="E363" s="144">
        <v>992.58925000000011</v>
      </c>
      <c r="F363" s="37"/>
      <c r="G363" s="143">
        <v>2016</v>
      </c>
      <c r="H363" s="37"/>
      <c r="I363" s="37"/>
      <c r="J363" s="37"/>
      <c r="K363" s="37"/>
    </row>
    <row r="364" spans="1:29" ht="28.5" x14ac:dyDescent="0.2">
      <c r="A364" s="149" t="s">
        <v>1222</v>
      </c>
      <c r="B364" s="149" t="s">
        <v>1146</v>
      </c>
      <c r="C364" s="145" t="s">
        <v>1215</v>
      </c>
      <c r="D364" s="3">
        <v>4.1432400000000005</v>
      </c>
      <c r="E364" s="141">
        <v>0</v>
      </c>
      <c r="F364" s="141">
        <v>0</v>
      </c>
      <c r="G364" s="140">
        <v>0</v>
      </c>
      <c r="H364" s="140">
        <v>0</v>
      </c>
      <c r="I364" s="142">
        <v>0</v>
      </c>
      <c r="J364" s="141">
        <v>0</v>
      </c>
      <c r="K364" s="141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</row>
    <row r="365" spans="1:29" ht="14.25" x14ac:dyDescent="0.2">
      <c r="C365" s="35" t="s">
        <v>88</v>
      </c>
      <c r="D365" s="3"/>
      <c r="E365" s="139">
        <v>0</v>
      </c>
      <c r="F365" s="139">
        <v>0</v>
      </c>
      <c r="G365" s="140"/>
      <c r="H365" s="140"/>
      <c r="I365" s="140">
        <v>0</v>
      </c>
      <c r="J365" s="139">
        <v>0</v>
      </c>
      <c r="K365" s="139">
        <v>0</v>
      </c>
    </row>
    <row r="366" spans="1:29" ht="99.75" x14ac:dyDescent="0.2">
      <c r="A366" s="149" t="s">
        <v>110</v>
      </c>
      <c r="B366" s="149" t="s">
        <v>1407</v>
      </c>
      <c r="C366" s="145" t="s">
        <v>1155</v>
      </c>
      <c r="D366" s="3">
        <v>4.1429999999999998</v>
      </c>
      <c r="E366" s="141">
        <v>519.79999999999995</v>
      </c>
      <c r="F366" s="141">
        <v>0</v>
      </c>
      <c r="G366" s="140">
        <v>2154</v>
      </c>
      <c r="H366" s="140">
        <v>0</v>
      </c>
      <c r="I366" s="142">
        <v>0</v>
      </c>
      <c r="J366" s="141">
        <v>0</v>
      </c>
      <c r="K366" s="141">
        <v>0</v>
      </c>
      <c r="T366">
        <v>2154</v>
      </c>
      <c r="U366">
        <v>2154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</row>
    <row r="367" spans="1:29" ht="14.25" x14ac:dyDescent="0.2">
      <c r="C367" s="35" t="s">
        <v>88</v>
      </c>
      <c r="D367" s="3"/>
      <c r="E367" s="139">
        <v>0</v>
      </c>
      <c r="F367" s="139">
        <v>0</v>
      </c>
      <c r="G367" s="140"/>
      <c r="H367" s="140"/>
      <c r="I367" s="140">
        <v>0</v>
      </c>
      <c r="J367" s="139">
        <v>0</v>
      </c>
      <c r="K367" s="139">
        <v>0</v>
      </c>
    </row>
    <row r="368" spans="1:29" ht="146.25" x14ac:dyDescent="0.2">
      <c r="A368" s="149" t="s">
        <v>200</v>
      </c>
      <c r="B368" s="149" t="s">
        <v>1512</v>
      </c>
      <c r="C368" s="145" t="s">
        <v>1370</v>
      </c>
      <c r="D368" s="3">
        <v>2.0310000000000001</v>
      </c>
      <c r="E368" s="141">
        <v>26.93</v>
      </c>
      <c r="F368" s="141">
        <v>18.899999999999999</v>
      </c>
      <c r="G368" s="140">
        <v>54</v>
      </c>
      <c r="H368" s="140">
        <v>16</v>
      </c>
      <c r="I368" s="142">
        <v>38</v>
      </c>
      <c r="J368" s="141">
        <v>1.012</v>
      </c>
      <c r="K368" s="141">
        <v>2.0553720000000002</v>
      </c>
      <c r="T368">
        <v>106</v>
      </c>
      <c r="U368">
        <v>0</v>
      </c>
      <c r="V368">
        <v>16</v>
      </c>
      <c r="W368">
        <v>38</v>
      </c>
      <c r="X368">
        <v>14</v>
      </c>
      <c r="Y368">
        <v>2.0553720000000002</v>
      </c>
      <c r="Z368">
        <v>1.0662750000000001</v>
      </c>
      <c r="AA368">
        <v>33</v>
      </c>
      <c r="AB368">
        <v>19</v>
      </c>
    </row>
    <row r="369" spans="1:28" ht="14.25" x14ac:dyDescent="0.2">
      <c r="C369" s="35" t="s">
        <v>97</v>
      </c>
      <c r="D369" s="3"/>
      <c r="E369" s="139">
        <v>8.0299999999999994</v>
      </c>
      <c r="F369" s="139">
        <v>7.1</v>
      </c>
      <c r="G369" s="140"/>
      <c r="H369" s="140"/>
      <c r="I369" s="140">
        <v>14</v>
      </c>
      <c r="J369" s="139">
        <v>0.52500000000000002</v>
      </c>
      <c r="K369" s="139">
        <v>1.0662750000000001</v>
      </c>
    </row>
    <row r="370" spans="1:28" x14ac:dyDescent="0.2">
      <c r="C370" s="36" t="s">
        <v>1220</v>
      </c>
    </row>
    <row r="371" spans="1:28" x14ac:dyDescent="0.2">
      <c r="C371" s="20" t="s">
        <v>89</v>
      </c>
      <c r="D371" s="37">
        <v>123</v>
      </c>
      <c r="E371" s="144">
        <v>16.748909999999999</v>
      </c>
      <c r="F371" s="37" t="s">
        <v>1211</v>
      </c>
      <c r="G371" s="143">
        <v>33</v>
      </c>
      <c r="H371" s="37" t="s">
        <v>1212</v>
      </c>
      <c r="I371" s="37"/>
      <c r="J371" s="37"/>
      <c r="K371" s="37"/>
    </row>
    <row r="372" spans="1:28" x14ac:dyDescent="0.2">
      <c r="C372" s="20" t="s">
        <v>92</v>
      </c>
      <c r="D372" s="37">
        <v>75</v>
      </c>
      <c r="E372" s="144">
        <v>9.6453749999999996</v>
      </c>
      <c r="F372" s="37" t="s">
        <v>1213</v>
      </c>
      <c r="G372" s="143">
        <v>19</v>
      </c>
      <c r="H372" s="37" t="s">
        <v>1214</v>
      </c>
      <c r="I372" s="37"/>
      <c r="J372" s="37"/>
      <c r="K372" s="37"/>
    </row>
    <row r="373" spans="1:28" x14ac:dyDescent="0.2">
      <c r="C373" s="20" t="s">
        <v>95</v>
      </c>
      <c r="D373" s="37"/>
      <c r="E373" s="144">
        <v>53.324284999999996</v>
      </c>
      <c r="F373" s="37"/>
      <c r="G373" s="143">
        <v>106</v>
      </c>
      <c r="H373" s="37"/>
      <c r="I373" s="37"/>
      <c r="J373" s="37"/>
      <c r="K373" s="37"/>
    </row>
    <row r="374" spans="1:28" ht="28.5" x14ac:dyDescent="0.2">
      <c r="A374" s="149" t="s">
        <v>1223</v>
      </c>
      <c r="B374" s="149" t="s">
        <v>1146</v>
      </c>
      <c r="C374" s="145" t="s">
        <v>1215</v>
      </c>
      <c r="D374" s="3">
        <v>2.0716199999999998</v>
      </c>
      <c r="E374" s="141">
        <v>0</v>
      </c>
      <c r="F374" s="141">
        <v>0</v>
      </c>
      <c r="G374" s="140">
        <v>0</v>
      </c>
      <c r="H374" s="140">
        <v>0</v>
      </c>
      <c r="I374" s="142">
        <v>0</v>
      </c>
      <c r="J374" s="141">
        <v>0</v>
      </c>
      <c r="K374" s="141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</row>
    <row r="375" spans="1:28" ht="14.25" x14ac:dyDescent="0.2">
      <c r="C375" s="35" t="s">
        <v>88</v>
      </c>
      <c r="D375" s="3"/>
      <c r="E375" s="139">
        <v>0</v>
      </c>
      <c r="F375" s="139">
        <v>0</v>
      </c>
      <c r="G375" s="140"/>
      <c r="H375" s="140"/>
      <c r="I375" s="140">
        <v>0</v>
      </c>
      <c r="J375" s="139">
        <v>0</v>
      </c>
      <c r="K375" s="139">
        <v>0</v>
      </c>
    </row>
    <row r="376" spans="1:28" ht="99.75" x14ac:dyDescent="0.2">
      <c r="A376" s="149" t="s">
        <v>201</v>
      </c>
      <c r="B376" s="149" t="s">
        <v>1407</v>
      </c>
      <c r="C376" s="145" t="s">
        <v>1155</v>
      </c>
      <c r="D376" s="3">
        <v>2.0720000000000001</v>
      </c>
      <c r="E376" s="141">
        <v>519.79999999999995</v>
      </c>
      <c r="F376" s="141">
        <v>0</v>
      </c>
      <c r="G376" s="140">
        <v>1077</v>
      </c>
      <c r="H376" s="140">
        <v>0</v>
      </c>
      <c r="I376" s="142">
        <v>0</v>
      </c>
      <c r="J376" s="141">
        <v>0</v>
      </c>
      <c r="K376" s="141">
        <v>0</v>
      </c>
      <c r="T376">
        <v>1077</v>
      </c>
      <c r="U376">
        <v>1077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</row>
    <row r="377" spans="1:28" ht="14.25" x14ac:dyDescent="0.2">
      <c r="C377" s="35" t="s">
        <v>88</v>
      </c>
      <c r="D377" s="3"/>
      <c r="E377" s="139">
        <v>0</v>
      </c>
      <c r="F377" s="139">
        <v>0</v>
      </c>
      <c r="G377" s="140"/>
      <c r="H377" s="140"/>
      <c r="I377" s="140">
        <v>0</v>
      </c>
      <c r="J377" s="139">
        <v>0</v>
      </c>
      <c r="K377" s="139">
        <v>0</v>
      </c>
    </row>
    <row r="378" spans="1:28" ht="105" x14ac:dyDescent="0.2">
      <c r="A378" s="149" t="s">
        <v>202</v>
      </c>
      <c r="B378" s="149" t="s">
        <v>1517</v>
      </c>
      <c r="C378" s="145" t="s">
        <v>1117</v>
      </c>
      <c r="D378" s="3">
        <v>2.0310000000000001</v>
      </c>
      <c r="E378" s="141">
        <v>389.01</v>
      </c>
      <c r="F378" s="141">
        <v>52.17</v>
      </c>
      <c r="G378" s="140">
        <v>790</v>
      </c>
      <c r="H378" s="140">
        <v>667</v>
      </c>
      <c r="I378" s="142">
        <v>106</v>
      </c>
      <c r="J378" s="141">
        <v>42.089999999999996</v>
      </c>
      <c r="K378" s="141">
        <v>85.484790000000004</v>
      </c>
      <c r="T378">
        <v>2030</v>
      </c>
      <c r="U378">
        <v>17</v>
      </c>
      <c r="V378">
        <v>667</v>
      </c>
      <c r="W378">
        <v>106</v>
      </c>
      <c r="X378">
        <v>44</v>
      </c>
      <c r="Y378">
        <v>85.484790000000004</v>
      </c>
      <c r="Z378">
        <v>3.2242125000000001</v>
      </c>
      <c r="AA378">
        <v>787</v>
      </c>
      <c r="AB378">
        <v>453</v>
      </c>
    </row>
    <row r="379" spans="1:28" ht="14.25" x14ac:dyDescent="0.2">
      <c r="C379" s="35" t="s">
        <v>97</v>
      </c>
      <c r="D379" s="3"/>
      <c r="E379" s="139">
        <v>328.3</v>
      </c>
      <c r="F379" s="139">
        <v>21.44</v>
      </c>
      <c r="G379" s="140"/>
      <c r="H379" s="140"/>
      <c r="I379" s="140">
        <v>44</v>
      </c>
      <c r="J379" s="139">
        <v>1.5874999999999999</v>
      </c>
      <c r="K379" s="139">
        <v>3.2242125000000001</v>
      </c>
    </row>
    <row r="380" spans="1:28" x14ac:dyDescent="0.2">
      <c r="C380" s="36" t="s">
        <v>1220</v>
      </c>
    </row>
    <row r="381" spans="1:28" x14ac:dyDescent="0.2">
      <c r="C381" s="20" t="s">
        <v>89</v>
      </c>
      <c r="D381" s="37">
        <v>123</v>
      </c>
      <c r="E381" s="144">
        <v>387.16218000000003</v>
      </c>
      <c r="F381" s="37" t="s">
        <v>1211</v>
      </c>
      <c r="G381" s="143">
        <v>787</v>
      </c>
      <c r="H381" s="37" t="s">
        <v>1212</v>
      </c>
      <c r="I381" s="37"/>
      <c r="J381" s="37"/>
      <c r="K381" s="37"/>
    </row>
    <row r="382" spans="1:28" x14ac:dyDescent="0.2">
      <c r="C382" s="20" t="s">
        <v>92</v>
      </c>
      <c r="D382" s="37">
        <v>75</v>
      </c>
      <c r="E382" s="144">
        <v>222.95925</v>
      </c>
      <c r="F382" s="37" t="s">
        <v>1213</v>
      </c>
      <c r="G382" s="143">
        <v>453</v>
      </c>
      <c r="H382" s="37" t="s">
        <v>1214</v>
      </c>
      <c r="I382" s="37"/>
      <c r="J382" s="37"/>
      <c r="K382" s="37"/>
    </row>
    <row r="383" spans="1:28" x14ac:dyDescent="0.2">
      <c r="C383" s="20" t="s">
        <v>95</v>
      </c>
      <c r="D383" s="37"/>
      <c r="E383" s="144">
        <v>999.13143000000002</v>
      </c>
      <c r="F383" s="37"/>
      <c r="G383" s="143">
        <v>2030</v>
      </c>
      <c r="H383" s="37"/>
      <c r="I383" s="37"/>
      <c r="J383" s="37"/>
      <c r="K383" s="37"/>
    </row>
    <row r="384" spans="1:28" ht="14.25" x14ac:dyDescent="0.2">
      <c r="A384" s="149" t="s">
        <v>1225</v>
      </c>
      <c r="B384" s="149" t="s">
        <v>1146</v>
      </c>
      <c r="C384" s="145" t="s">
        <v>1173</v>
      </c>
      <c r="D384" s="3">
        <v>4.1432400000000005</v>
      </c>
      <c r="E384" s="141">
        <v>0</v>
      </c>
      <c r="F384" s="141">
        <v>0</v>
      </c>
      <c r="G384" s="140">
        <v>0</v>
      </c>
      <c r="H384" s="140">
        <v>0</v>
      </c>
      <c r="I384" s="142">
        <v>0</v>
      </c>
      <c r="J384" s="141">
        <v>0</v>
      </c>
      <c r="K384" s="141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</row>
    <row r="385" spans="1:28" ht="14.25" x14ac:dyDescent="0.2">
      <c r="C385" s="35" t="s">
        <v>88</v>
      </c>
      <c r="D385" s="3"/>
      <c r="E385" s="139">
        <v>0</v>
      </c>
      <c r="F385" s="139">
        <v>0</v>
      </c>
      <c r="G385" s="140"/>
      <c r="H385" s="140"/>
      <c r="I385" s="140">
        <v>0</v>
      </c>
      <c r="J385" s="139">
        <v>0</v>
      </c>
      <c r="K385" s="139">
        <v>0</v>
      </c>
    </row>
    <row r="386" spans="1:28" ht="99.75" x14ac:dyDescent="0.2">
      <c r="A386" s="149" t="s">
        <v>203</v>
      </c>
      <c r="B386" s="149" t="s">
        <v>1465</v>
      </c>
      <c r="C386" s="145" t="s">
        <v>1224</v>
      </c>
      <c r="D386" s="3">
        <v>4.1429999999999998</v>
      </c>
      <c r="E386" s="141">
        <v>725.69</v>
      </c>
      <c r="F386" s="141">
        <v>0</v>
      </c>
      <c r="G386" s="140">
        <v>3007</v>
      </c>
      <c r="H386" s="140">
        <v>0</v>
      </c>
      <c r="I386" s="142">
        <v>0</v>
      </c>
      <c r="J386" s="141">
        <v>0</v>
      </c>
      <c r="K386" s="141">
        <v>0</v>
      </c>
      <c r="T386">
        <v>3007</v>
      </c>
      <c r="U386">
        <v>3007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</row>
    <row r="387" spans="1:28" ht="14.25" x14ac:dyDescent="0.2">
      <c r="C387" s="35" t="s">
        <v>88</v>
      </c>
      <c r="D387" s="3"/>
      <c r="E387" s="139">
        <v>0</v>
      </c>
      <c r="F387" s="139">
        <v>0</v>
      </c>
      <c r="G387" s="140"/>
      <c r="H387" s="140"/>
      <c r="I387" s="140">
        <v>0</v>
      </c>
      <c r="J387" s="139">
        <v>0</v>
      </c>
      <c r="K387" s="139">
        <v>0</v>
      </c>
    </row>
    <row r="388" spans="1:28" ht="146.25" x14ac:dyDescent="0.2">
      <c r="A388" s="149" t="s">
        <v>204</v>
      </c>
      <c r="B388" s="149" t="s">
        <v>1518</v>
      </c>
      <c r="C388" s="145" t="s">
        <v>1369</v>
      </c>
      <c r="D388" s="3">
        <v>2.0310000000000001</v>
      </c>
      <c r="E388" s="141">
        <v>160.72999999999999</v>
      </c>
      <c r="F388" s="141">
        <v>113.4</v>
      </c>
      <c r="G388" s="140">
        <v>326</v>
      </c>
      <c r="H388" s="140">
        <v>96</v>
      </c>
      <c r="I388" s="142">
        <v>230</v>
      </c>
      <c r="J388" s="141">
        <v>6.0720000000000001</v>
      </c>
      <c r="K388" s="141">
        <v>12.332232000000001</v>
      </c>
      <c r="T388">
        <v>646</v>
      </c>
      <c r="U388">
        <v>0</v>
      </c>
      <c r="V388">
        <v>96</v>
      </c>
      <c r="W388">
        <v>230</v>
      </c>
      <c r="X388">
        <v>87</v>
      </c>
      <c r="Y388">
        <v>12.332232000000001</v>
      </c>
      <c r="Z388">
        <v>6.3976500000000014</v>
      </c>
      <c r="AA388">
        <v>203</v>
      </c>
      <c r="AB388">
        <v>117</v>
      </c>
    </row>
    <row r="389" spans="1:28" ht="14.25" x14ac:dyDescent="0.2">
      <c r="C389" s="35" t="s">
        <v>97</v>
      </c>
      <c r="D389" s="3"/>
      <c r="E389" s="139">
        <v>47.33</v>
      </c>
      <c r="F389" s="139">
        <v>42.6</v>
      </c>
      <c r="G389" s="140"/>
      <c r="H389" s="140"/>
      <c r="I389" s="140">
        <v>87</v>
      </c>
      <c r="J389" s="139">
        <v>3.1500000000000004</v>
      </c>
      <c r="K389" s="139">
        <v>6.3976500000000014</v>
      </c>
    </row>
    <row r="390" spans="1:28" x14ac:dyDescent="0.2">
      <c r="C390" s="36" t="s">
        <v>1220</v>
      </c>
    </row>
    <row r="391" spans="1:28" x14ac:dyDescent="0.2">
      <c r="C391" s="20" t="s">
        <v>89</v>
      </c>
      <c r="D391" s="37">
        <v>123</v>
      </c>
      <c r="E391" s="144">
        <v>99.552509999999998</v>
      </c>
      <c r="F391" s="37" t="s">
        <v>1211</v>
      </c>
      <c r="G391" s="143">
        <v>203</v>
      </c>
      <c r="H391" s="37" t="s">
        <v>1212</v>
      </c>
      <c r="I391" s="37"/>
      <c r="J391" s="37"/>
      <c r="K391" s="37"/>
    </row>
    <row r="392" spans="1:28" x14ac:dyDescent="0.2">
      <c r="C392" s="20" t="s">
        <v>92</v>
      </c>
      <c r="D392" s="37">
        <v>75</v>
      </c>
      <c r="E392" s="144">
        <v>57.330375000000004</v>
      </c>
      <c r="F392" s="37" t="s">
        <v>1213</v>
      </c>
      <c r="G392" s="143">
        <v>117</v>
      </c>
      <c r="H392" s="37" t="s">
        <v>1214</v>
      </c>
      <c r="I392" s="37"/>
      <c r="J392" s="37"/>
      <c r="K392" s="37"/>
    </row>
    <row r="393" spans="1:28" x14ac:dyDescent="0.2">
      <c r="C393" s="20" t="s">
        <v>95</v>
      </c>
      <c r="D393" s="37"/>
      <c r="E393" s="144">
        <v>317.61288500000001</v>
      </c>
      <c r="F393" s="37"/>
      <c r="G393" s="143">
        <v>646</v>
      </c>
      <c r="H393" s="37"/>
      <c r="I393" s="37"/>
      <c r="J393" s="37"/>
      <c r="K393" s="37"/>
    </row>
    <row r="394" spans="1:28" ht="14.25" x14ac:dyDescent="0.2">
      <c r="A394" s="149" t="s">
        <v>1227</v>
      </c>
      <c r="B394" s="149" t="s">
        <v>1146</v>
      </c>
      <c r="C394" s="145" t="s">
        <v>1173</v>
      </c>
      <c r="D394" s="3">
        <v>12.42972</v>
      </c>
      <c r="E394" s="141">
        <v>0</v>
      </c>
      <c r="F394" s="141">
        <v>0</v>
      </c>
      <c r="G394" s="140">
        <v>0</v>
      </c>
      <c r="H394" s="140">
        <v>0</v>
      </c>
      <c r="I394" s="142">
        <v>0</v>
      </c>
      <c r="J394" s="141">
        <v>0</v>
      </c>
      <c r="K394" s="141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</row>
    <row r="395" spans="1:28" ht="14.25" x14ac:dyDescent="0.2">
      <c r="C395" s="35" t="s">
        <v>88</v>
      </c>
      <c r="D395" s="3"/>
      <c r="E395" s="139">
        <v>0</v>
      </c>
      <c r="F395" s="139">
        <v>0</v>
      </c>
      <c r="G395" s="140"/>
      <c r="H395" s="140"/>
      <c r="I395" s="140">
        <v>0</v>
      </c>
      <c r="J395" s="139">
        <v>0</v>
      </c>
      <c r="K395" s="139">
        <v>0</v>
      </c>
    </row>
    <row r="396" spans="1:28" ht="99.75" x14ac:dyDescent="0.2">
      <c r="A396" s="149" t="s">
        <v>136</v>
      </c>
      <c r="B396" s="149" t="s">
        <v>1465</v>
      </c>
      <c r="C396" s="145" t="s">
        <v>1224</v>
      </c>
      <c r="D396" s="3">
        <v>12.43</v>
      </c>
      <c r="E396" s="141">
        <v>725.69</v>
      </c>
      <c r="F396" s="141">
        <v>0</v>
      </c>
      <c r="G396" s="140">
        <v>9020</v>
      </c>
      <c r="H396" s="140">
        <v>0</v>
      </c>
      <c r="I396" s="142">
        <v>0</v>
      </c>
      <c r="J396" s="141">
        <v>0</v>
      </c>
      <c r="K396" s="141">
        <v>0</v>
      </c>
      <c r="T396">
        <v>9020</v>
      </c>
      <c r="U396">
        <v>9020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</row>
    <row r="397" spans="1:28" ht="14.25" x14ac:dyDescent="0.2">
      <c r="C397" s="35" t="s">
        <v>88</v>
      </c>
      <c r="D397" s="3"/>
      <c r="E397" s="139">
        <v>0</v>
      </c>
      <c r="F397" s="139">
        <v>0</v>
      </c>
      <c r="G397" s="140"/>
      <c r="H397" s="140"/>
      <c r="I397" s="140">
        <v>0</v>
      </c>
      <c r="J397" s="139">
        <v>0</v>
      </c>
      <c r="K397" s="139">
        <v>0</v>
      </c>
    </row>
    <row r="398" spans="1:28" ht="105" x14ac:dyDescent="0.2">
      <c r="A398" s="149" t="s">
        <v>205</v>
      </c>
      <c r="B398" s="149" t="s">
        <v>1428</v>
      </c>
      <c r="C398" s="145" t="s">
        <v>1109</v>
      </c>
      <c r="D398" s="3">
        <v>0.61499999999999999</v>
      </c>
      <c r="E398" s="141">
        <v>441.87</v>
      </c>
      <c r="F398" s="141">
        <v>38.07</v>
      </c>
      <c r="G398" s="140">
        <v>272</v>
      </c>
      <c r="H398" s="140">
        <v>73</v>
      </c>
      <c r="I398" s="142">
        <v>23</v>
      </c>
      <c r="J398" s="141">
        <v>13.339999999999998</v>
      </c>
      <c r="K398" s="141">
        <v>8.2040999999999986</v>
      </c>
      <c r="T398">
        <v>386</v>
      </c>
      <c r="U398">
        <v>176</v>
      </c>
      <c r="V398">
        <v>73</v>
      </c>
      <c r="W398">
        <v>23</v>
      </c>
      <c r="X398">
        <v>3</v>
      </c>
      <c r="Y398">
        <v>8.2040999999999986</v>
      </c>
      <c r="Z398">
        <v>0.26906249999999998</v>
      </c>
      <c r="AA398">
        <v>72</v>
      </c>
      <c r="AB398">
        <v>42</v>
      </c>
    </row>
    <row r="399" spans="1:28" ht="14.25" x14ac:dyDescent="0.2">
      <c r="C399" s="35" t="s">
        <v>99</v>
      </c>
      <c r="D399" s="3"/>
      <c r="E399" s="139">
        <v>118.2</v>
      </c>
      <c r="F399" s="139">
        <v>5.44</v>
      </c>
      <c r="G399" s="140"/>
      <c r="H399" s="140"/>
      <c r="I399" s="140">
        <v>3</v>
      </c>
      <c r="J399" s="139">
        <v>0.4375</v>
      </c>
      <c r="K399" s="139">
        <v>0.26906249999999998</v>
      </c>
    </row>
    <row r="400" spans="1:28" x14ac:dyDescent="0.2">
      <c r="C400" s="36" t="s">
        <v>1226</v>
      </c>
    </row>
    <row r="401" spans="1:28" x14ac:dyDescent="0.2">
      <c r="C401" s="20" t="s">
        <v>89</v>
      </c>
      <c r="D401" s="37">
        <v>105</v>
      </c>
      <c r="E401" s="144">
        <v>116.8398</v>
      </c>
      <c r="F401" s="37" t="s">
        <v>1130</v>
      </c>
      <c r="G401" s="143">
        <v>72</v>
      </c>
      <c r="H401" s="37" t="s">
        <v>1131</v>
      </c>
      <c r="I401" s="37"/>
      <c r="J401" s="37"/>
      <c r="K401" s="37"/>
    </row>
    <row r="402" spans="1:28" x14ac:dyDescent="0.2">
      <c r="C402" s="20" t="s">
        <v>92</v>
      </c>
      <c r="D402" s="37">
        <v>65</v>
      </c>
      <c r="E402" s="144">
        <v>68.311099999999996</v>
      </c>
      <c r="F402" s="37" t="s">
        <v>1205</v>
      </c>
      <c r="G402" s="143">
        <v>42</v>
      </c>
      <c r="H402" s="37" t="s">
        <v>1206</v>
      </c>
      <c r="I402" s="37"/>
      <c r="J402" s="37"/>
      <c r="K402" s="37"/>
    </row>
    <row r="403" spans="1:28" x14ac:dyDescent="0.2">
      <c r="C403" s="20" t="s">
        <v>95</v>
      </c>
      <c r="D403" s="37"/>
      <c r="E403" s="144">
        <v>627.02089999999998</v>
      </c>
      <c r="F403" s="37"/>
      <c r="G403" s="143">
        <v>386</v>
      </c>
      <c r="H403" s="37"/>
      <c r="I403" s="37"/>
      <c r="J403" s="37"/>
      <c r="K403" s="37"/>
    </row>
    <row r="404" spans="1:28" ht="14.25" x14ac:dyDescent="0.2">
      <c r="A404" s="149" t="s">
        <v>1230</v>
      </c>
      <c r="B404" s="149" t="s">
        <v>1146</v>
      </c>
      <c r="C404" s="145" t="s">
        <v>1228</v>
      </c>
      <c r="D404" s="3">
        <v>0.61499999999999999</v>
      </c>
      <c r="E404" s="141">
        <v>0</v>
      </c>
      <c r="F404" s="141">
        <v>0</v>
      </c>
      <c r="G404" s="140">
        <v>0</v>
      </c>
      <c r="H404" s="140">
        <v>0</v>
      </c>
      <c r="I404" s="142">
        <v>0</v>
      </c>
      <c r="J404" s="141">
        <v>0</v>
      </c>
      <c r="K404" s="141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</row>
    <row r="405" spans="1:28" ht="14.25" x14ac:dyDescent="0.2">
      <c r="C405" s="35" t="s">
        <v>99</v>
      </c>
      <c r="D405" s="3"/>
      <c r="E405" s="139">
        <v>0</v>
      </c>
      <c r="F405" s="139">
        <v>0</v>
      </c>
      <c r="G405" s="140"/>
      <c r="H405" s="140"/>
      <c r="I405" s="140">
        <v>0</v>
      </c>
      <c r="J405" s="139">
        <v>0</v>
      </c>
      <c r="K405" s="139">
        <v>0</v>
      </c>
    </row>
    <row r="406" spans="1:28" ht="99.75" x14ac:dyDescent="0.2">
      <c r="A406" s="149" t="s">
        <v>146</v>
      </c>
      <c r="B406" s="149" t="s">
        <v>1430</v>
      </c>
      <c r="C406" s="145" t="s">
        <v>1229</v>
      </c>
      <c r="D406" s="3">
        <v>0.61499999999999999</v>
      </c>
      <c r="E406" s="141">
        <v>7200</v>
      </c>
      <c r="F406" s="141">
        <v>0</v>
      </c>
      <c r="G406" s="140">
        <v>4428</v>
      </c>
      <c r="H406" s="140">
        <v>0</v>
      </c>
      <c r="I406" s="142">
        <v>0</v>
      </c>
      <c r="J406" s="141">
        <v>0</v>
      </c>
      <c r="K406" s="141">
        <v>0</v>
      </c>
      <c r="T406">
        <v>4428</v>
      </c>
      <c r="U406">
        <v>4428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</row>
    <row r="407" spans="1:28" ht="14.25" x14ac:dyDescent="0.2">
      <c r="C407" s="35" t="s">
        <v>99</v>
      </c>
      <c r="D407" s="3"/>
      <c r="E407" s="139">
        <v>0</v>
      </c>
      <c r="F407" s="139">
        <v>0</v>
      </c>
      <c r="G407" s="140"/>
      <c r="H407" s="140"/>
      <c r="I407" s="140">
        <v>0</v>
      </c>
      <c r="J407" s="139">
        <v>0</v>
      </c>
      <c r="K407" s="139">
        <v>0</v>
      </c>
    </row>
    <row r="408" spans="1:28" ht="105" x14ac:dyDescent="0.2">
      <c r="A408" s="149" t="s">
        <v>206</v>
      </c>
      <c r="B408" s="149" t="s">
        <v>1519</v>
      </c>
      <c r="C408" s="145" t="s">
        <v>1368</v>
      </c>
      <c r="D408" s="3">
        <v>2.0310000000000001</v>
      </c>
      <c r="E408" s="141">
        <v>2027.01</v>
      </c>
      <c r="F408" s="141">
        <v>274.93</v>
      </c>
      <c r="G408" s="140">
        <v>4116</v>
      </c>
      <c r="H408" s="140">
        <v>3289</v>
      </c>
      <c r="I408" s="142">
        <v>558</v>
      </c>
      <c r="J408" s="141">
        <v>180.54999999999998</v>
      </c>
      <c r="K408" s="141">
        <v>366.69704999999999</v>
      </c>
      <c r="T408">
        <v>9974</v>
      </c>
      <c r="U408">
        <v>269</v>
      </c>
      <c r="V408">
        <v>3289</v>
      </c>
      <c r="W408">
        <v>558</v>
      </c>
      <c r="X408">
        <v>69</v>
      </c>
      <c r="Y408">
        <v>366.69704999999999</v>
      </c>
      <c r="Z408">
        <v>5.8645125000000009</v>
      </c>
      <c r="AA408">
        <v>3717</v>
      </c>
      <c r="AB408">
        <v>2141</v>
      </c>
    </row>
    <row r="409" spans="1:28" ht="14.25" x14ac:dyDescent="0.2">
      <c r="C409" s="35" t="s">
        <v>97</v>
      </c>
      <c r="D409" s="3"/>
      <c r="E409" s="139">
        <v>1619.53</v>
      </c>
      <c r="F409" s="139">
        <v>33.78</v>
      </c>
      <c r="G409" s="140"/>
      <c r="H409" s="140"/>
      <c r="I409" s="140">
        <v>69</v>
      </c>
      <c r="J409" s="139">
        <v>2.8875000000000002</v>
      </c>
      <c r="K409" s="139">
        <v>5.8645125000000009</v>
      </c>
    </row>
    <row r="410" spans="1:28" x14ac:dyDescent="0.2">
      <c r="C410" s="36" t="s">
        <v>1220</v>
      </c>
    </row>
    <row r="411" spans="1:28" x14ac:dyDescent="0.2">
      <c r="C411" s="20" t="s">
        <v>89</v>
      </c>
      <c r="D411" s="37">
        <v>123</v>
      </c>
      <c r="E411" s="144">
        <v>1830.21417</v>
      </c>
      <c r="F411" s="37" t="s">
        <v>1211</v>
      </c>
      <c r="G411" s="143">
        <v>3717</v>
      </c>
      <c r="H411" s="37" t="s">
        <v>1212</v>
      </c>
      <c r="I411" s="37"/>
      <c r="J411" s="37"/>
      <c r="K411" s="37"/>
    </row>
    <row r="412" spans="1:28" x14ac:dyDescent="0.2">
      <c r="C412" s="20" t="s">
        <v>92</v>
      </c>
      <c r="D412" s="37">
        <v>75</v>
      </c>
      <c r="E412" s="144">
        <v>1053.9851249999999</v>
      </c>
      <c r="F412" s="37" t="s">
        <v>1213</v>
      </c>
      <c r="G412" s="143">
        <v>2141</v>
      </c>
      <c r="H412" s="37" t="s">
        <v>1214</v>
      </c>
      <c r="I412" s="37"/>
      <c r="J412" s="37"/>
      <c r="K412" s="37"/>
    </row>
    <row r="413" spans="1:28" x14ac:dyDescent="0.2">
      <c r="C413" s="20" t="s">
        <v>95</v>
      </c>
      <c r="D413" s="37"/>
      <c r="E413" s="144">
        <v>4911.2092949999997</v>
      </c>
      <c r="F413" s="37"/>
      <c r="G413" s="143">
        <v>9974</v>
      </c>
      <c r="H413" s="37"/>
      <c r="I413" s="37"/>
      <c r="J413" s="37"/>
      <c r="K413" s="37"/>
    </row>
    <row r="414" spans="1:28" ht="28.5" x14ac:dyDescent="0.2">
      <c r="A414" s="149" t="s">
        <v>1520</v>
      </c>
      <c r="B414" s="149" t="s">
        <v>1146</v>
      </c>
      <c r="C414" s="145" t="s">
        <v>1231</v>
      </c>
      <c r="D414" s="3">
        <v>4.1432400000000005</v>
      </c>
      <c r="E414" s="141">
        <v>0</v>
      </c>
      <c r="F414" s="141">
        <v>0</v>
      </c>
      <c r="G414" s="140">
        <v>0</v>
      </c>
      <c r="H414" s="140">
        <v>0</v>
      </c>
      <c r="I414" s="142">
        <v>0</v>
      </c>
      <c r="J414" s="141">
        <v>0</v>
      </c>
      <c r="K414" s="141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</row>
    <row r="415" spans="1:28" ht="14.25" x14ac:dyDescent="0.2">
      <c r="C415" s="35" t="s">
        <v>88</v>
      </c>
      <c r="D415" s="3"/>
      <c r="E415" s="139">
        <v>0</v>
      </c>
      <c r="F415" s="139">
        <v>0</v>
      </c>
      <c r="G415" s="140"/>
      <c r="H415" s="140"/>
      <c r="I415" s="140">
        <v>0</v>
      </c>
      <c r="J415" s="139">
        <v>0</v>
      </c>
      <c r="K415" s="139">
        <v>0</v>
      </c>
    </row>
    <row r="416" spans="1:28" ht="99.75" x14ac:dyDescent="0.2">
      <c r="A416" s="149" t="s">
        <v>207</v>
      </c>
      <c r="B416" s="149" t="s">
        <v>1521</v>
      </c>
      <c r="C416" s="145" t="s">
        <v>1231</v>
      </c>
      <c r="D416" s="3">
        <v>4.1429999999999998</v>
      </c>
      <c r="E416" s="141">
        <v>572</v>
      </c>
      <c r="F416" s="141">
        <v>0</v>
      </c>
      <c r="G416" s="140">
        <v>2370</v>
      </c>
      <c r="H416" s="140">
        <v>0</v>
      </c>
      <c r="I416" s="142">
        <v>0</v>
      </c>
      <c r="J416" s="141">
        <v>0</v>
      </c>
      <c r="K416" s="141">
        <v>0</v>
      </c>
      <c r="T416">
        <v>2370</v>
      </c>
      <c r="U416">
        <v>2370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</row>
    <row r="417" spans="1:29" ht="14.25" x14ac:dyDescent="0.2">
      <c r="C417" s="35" t="s">
        <v>88</v>
      </c>
      <c r="D417" s="3"/>
      <c r="E417" s="139">
        <v>0</v>
      </c>
      <c r="F417" s="139">
        <v>0</v>
      </c>
      <c r="G417" s="140"/>
      <c r="H417" s="140"/>
      <c r="I417" s="140">
        <v>0</v>
      </c>
      <c r="J417" s="139">
        <v>0</v>
      </c>
      <c r="K417" s="139">
        <v>0</v>
      </c>
    </row>
    <row r="419" spans="1:29" ht="45" x14ac:dyDescent="0.25">
      <c r="B419" s="188" t="s">
        <v>1232</v>
      </c>
      <c r="C419" s="188"/>
      <c r="D419" s="188"/>
      <c r="E419" s="188"/>
      <c r="F419" s="188"/>
      <c r="G419" s="188"/>
      <c r="H419" s="188"/>
      <c r="I419" s="188"/>
      <c r="J419" s="188"/>
      <c r="AC419" s="147" t="s">
        <v>1232</v>
      </c>
    </row>
    <row r="420" spans="1:29" ht="99.75" x14ac:dyDescent="0.2">
      <c r="A420" s="149" t="s">
        <v>212</v>
      </c>
      <c r="B420" s="149" t="s">
        <v>1522</v>
      </c>
      <c r="C420" s="145" t="s">
        <v>1523</v>
      </c>
      <c r="D420" s="3">
        <v>2.5999999999999999E-2</v>
      </c>
      <c r="E420" s="141">
        <v>663.75</v>
      </c>
      <c r="F420" s="141">
        <v>0</v>
      </c>
      <c r="G420" s="140">
        <v>17</v>
      </c>
      <c r="H420" s="140">
        <v>17</v>
      </c>
      <c r="I420" s="142">
        <v>0</v>
      </c>
      <c r="J420" s="141">
        <v>88.5</v>
      </c>
      <c r="K420" s="141">
        <v>2.3009999999999997</v>
      </c>
      <c r="T420">
        <v>36</v>
      </c>
      <c r="U420">
        <v>0</v>
      </c>
      <c r="V420">
        <v>17</v>
      </c>
      <c r="W420">
        <v>0</v>
      </c>
      <c r="X420">
        <v>0</v>
      </c>
      <c r="Y420">
        <v>2.3009999999999997</v>
      </c>
      <c r="Z420">
        <v>0</v>
      </c>
      <c r="AA420">
        <v>12</v>
      </c>
      <c r="AB420">
        <v>7</v>
      </c>
    </row>
    <row r="421" spans="1:29" ht="14.25" x14ac:dyDescent="0.2">
      <c r="C421" s="35" t="s">
        <v>208</v>
      </c>
      <c r="D421" s="3"/>
      <c r="E421" s="139">
        <v>663.75</v>
      </c>
      <c r="F421" s="139">
        <v>0</v>
      </c>
      <c r="G421" s="140"/>
      <c r="H421" s="140"/>
      <c r="I421" s="140">
        <v>0</v>
      </c>
      <c r="J421" s="139">
        <v>0</v>
      </c>
      <c r="K421" s="139">
        <v>0</v>
      </c>
    </row>
    <row r="422" spans="1:29" x14ac:dyDescent="0.2">
      <c r="C422" s="36" t="s">
        <v>1233</v>
      </c>
    </row>
    <row r="423" spans="1:29" x14ac:dyDescent="0.2">
      <c r="C423" s="20" t="s">
        <v>89</v>
      </c>
      <c r="D423" s="37">
        <v>80</v>
      </c>
      <c r="E423" s="144">
        <v>477.9</v>
      </c>
      <c r="F423" s="37" t="s">
        <v>209</v>
      </c>
      <c r="G423" s="143">
        <v>12</v>
      </c>
      <c r="H423" s="37" t="s">
        <v>207</v>
      </c>
      <c r="I423" s="37"/>
      <c r="J423" s="37"/>
      <c r="K423" s="37"/>
    </row>
    <row r="424" spans="1:29" x14ac:dyDescent="0.2">
      <c r="C424" s="20" t="s">
        <v>92</v>
      </c>
      <c r="D424" s="37">
        <v>45</v>
      </c>
      <c r="E424" s="144">
        <v>253.88437500000001</v>
      </c>
      <c r="F424" s="37" t="s">
        <v>210</v>
      </c>
      <c r="G424" s="143">
        <v>7</v>
      </c>
      <c r="H424" s="37" t="s">
        <v>211</v>
      </c>
      <c r="I424" s="37"/>
      <c r="J424" s="37"/>
      <c r="K424" s="37"/>
    </row>
    <row r="425" spans="1:29" x14ac:dyDescent="0.2">
      <c r="C425" s="20" t="s">
        <v>95</v>
      </c>
      <c r="D425" s="37"/>
      <c r="E425" s="144">
        <v>1395.534375</v>
      </c>
      <c r="F425" s="37"/>
      <c r="G425" s="143">
        <v>36</v>
      </c>
      <c r="H425" s="37"/>
      <c r="I425" s="37"/>
      <c r="J425" s="37"/>
      <c r="K425" s="37"/>
    </row>
    <row r="426" spans="1:29" ht="99.75" x14ac:dyDescent="0.2">
      <c r="A426" s="149" t="s">
        <v>213</v>
      </c>
      <c r="B426" s="149" t="s">
        <v>1522</v>
      </c>
      <c r="C426" s="145" t="s">
        <v>1523</v>
      </c>
      <c r="D426" s="3">
        <v>2.5999999999999999E-2</v>
      </c>
      <c r="E426" s="141">
        <v>663.75</v>
      </c>
      <c r="F426" s="141">
        <v>0</v>
      </c>
      <c r="G426" s="140">
        <v>17</v>
      </c>
      <c r="H426" s="140">
        <v>17</v>
      </c>
      <c r="I426" s="142">
        <v>0</v>
      </c>
      <c r="J426" s="141">
        <v>88.5</v>
      </c>
      <c r="K426" s="141">
        <v>2.3009999999999997</v>
      </c>
      <c r="T426">
        <v>36</v>
      </c>
      <c r="U426">
        <v>0</v>
      </c>
      <c r="V426">
        <v>17</v>
      </c>
      <c r="W426">
        <v>0</v>
      </c>
      <c r="X426">
        <v>0</v>
      </c>
      <c r="Y426">
        <v>2.3009999999999997</v>
      </c>
      <c r="Z426">
        <v>0</v>
      </c>
      <c r="AA426">
        <v>12</v>
      </c>
      <c r="AB426">
        <v>7</v>
      </c>
    </row>
    <row r="427" spans="1:29" ht="14.25" x14ac:dyDescent="0.2">
      <c r="C427" s="35" t="s">
        <v>208</v>
      </c>
      <c r="D427" s="3"/>
      <c r="E427" s="139">
        <v>663.75</v>
      </c>
      <c r="F427" s="139">
        <v>0</v>
      </c>
      <c r="G427" s="140"/>
      <c r="H427" s="140"/>
      <c r="I427" s="140">
        <v>0</v>
      </c>
      <c r="J427" s="139">
        <v>0</v>
      </c>
      <c r="K427" s="139">
        <v>0</v>
      </c>
    </row>
    <row r="428" spans="1:29" x14ac:dyDescent="0.2">
      <c r="C428" s="36" t="s">
        <v>1233</v>
      </c>
    </row>
    <row r="429" spans="1:29" x14ac:dyDescent="0.2">
      <c r="C429" s="20" t="s">
        <v>89</v>
      </c>
      <c r="D429" s="37">
        <v>80</v>
      </c>
      <c r="E429" s="144">
        <v>477.9</v>
      </c>
      <c r="F429" s="37" t="s">
        <v>209</v>
      </c>
      <c r="G429" s="143">
        <v>12</v>
      </c>
      <c r="H429" s="37" t="s">
        <v>207</v>
      </c>
      <c r="I429" s="37"/>
      <c r="J429" s="37"/>
      <c r="K429" s="37"/>
    </row>
    <row r="430" spans="1:29" x14ac:dyDescent="0.2">
      <c r="C430" s="20" t="s">
        <v>92</v>
      </c>
      <c r="D430" s="37">
        <v>45</v>
      </c>
      <c r="E430" s="144">
        <v>253.88437500000001</v>
      </c>
      <c r="F430" s="37" t="s">
        <v>210</v>
      </c>
      <c r="G430" s="143">
        <v>7</v>
      </c>
      <c r="H430" s="37" t="s">
        <v>211</v>
      </c>
      <c r="I430" s="37"/>
      <c r="J430" s="37"/>
      <c r="K430" s="37"/>
    </row>
    <row r="431" spans="1:29" x14ac:dyDescent="0.2">
      <c r="C431" s="20" t="s">
        <v>95</v>
      </c>
      <c r="D431" s="37"/>
      <c r="E431" s="144">
        <v>1395.534375</v>
      </c>
      <c r="F431" s="37"/>
      <c r="G431" s="143">
        <v>36</v>
      </c>
      <c r="H431" s="37"/>
      <c r="I431" s="37"/>
      <c r="J431" s="37"/>
      <c r="K431" s="37"/>
    </row>
    <row r="432" spans="1:29" ht="99.75" x14ac:dyDescent="0.2">
      <c r="A432" s="149" t="s">
        <v>215</v>
      </c>
      <c r="B432" s="149" t="s">
        <v>1524</v>
      </c>
      <c r="C432" s="145" t="s">
        <v>1525</v>
      </c>
      <c r="D432" s="3">
        <v>2.86</v>
      </c>
      <c r="E432" s="141">
        <v>54.95</v>
      </c>
      <c r="F432" s="141">
        <v>0</v>
      </c>
      <c r="G432" s="140">
        <v>157</v>
      </c>
      <c r="H432" s="140">
        <v>0</v>
      </c>
      <c r="I432" s="142">
        <v>0</v>
      </c>
      <c r="J432" s="141">
        <v>0</v>
      </c>
      <c r="K432" s="141">
        <v>0</v>
      </c>
      <c r="T432">
        <v>157</v>
      </c>
      <c r="U432">
        <v>157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</row>
    <row r="433" spans="1:28" ht="14.25" x14ac:dyDescent="0.2">
      <c r="C433" s="35" t="s">
        <v>88</v>
      </c>
      <c r="D433" s="3"/>
      <c r="E433" s="139">
        <v>0</v>
      </c>
      <c r="F433" s="139">
        <v>0</v>
      </c>
      <c r="G433" s="140"/>
      <c r="H433" s="140"/>
      <c r="I433" s="140">
        <v>0</v>
      </c>
      <c r="J433" s="139">
        <v>0</v>
      </c>
      <c r="K433" s="139">
        <v>0</v>
      </c>
    </row>
    <row r="434" spans="1:28" x14ac:dyDescent="0.2">
      <c r="C434" s="36" t="s">
        <v>1234</v>
      </c>
    </row>
    <row r="435" spans="1:28" ht="105" x14ac:dyDescent="0.2">
      <c r="A435" s="149" t="s">
        <v>218</v>
      </c>
      <c r="B435" s="149" t="s">
        <v>1511</v>
      </c>
      <c r="C435" s="145" t="s">
        <v>1118</v>
      </c>
      <c r="D435" s="3">
        <v>0.02</v>
      </c>
      <c r="E435" s="141">
        <v>388.12</v>
      </c>
      <c r="F435" s="141">
        <v>54.52</v>
      </c>
      <c r="G435" s="140">
        <v>8</v>
      </c>
      <c r="H435" s="140">
        <v>7</v>
      </c>
      <c r="I435" s="142">
        <v>1</v>
      </c>
      <c r="J435" s="141">
        <v>40.94</v>
      </c>
      <c r="K435" s="141">
        <v>0.81879999999999997</v>
      </c>
      <c r="T435">
        <v>20</v>
      </c>
      <c r="U435">
        <v>0</v>
      </c>
      <c r="V435">
        <v>7</v>
      </c>
      <c r="W435">
        <v>1</v>
      </c>
      <c r="X435">
        <v>0</v>
      </c>
      <c r="Y435">
        <v>0.81879999999999997</v>
      </c>
      <c r="Z435">
        <v>3.175E-2</v>
      </c>
      <c r="AA435">
        <v>8</v>
      </c>
      <c r="AB435">
        <v>4</v>
      </c>
    </row>
    <row r="436" spans="1:28" ht="14.25" x14ac:dyDescent="0.2">
      <c r="C436" s="35" t="s">
        <v>97</v>
      </c>
      <c r="D436" s="3"/>
      <c r="E436" s="139">
        <v>325.06</v>
      </c>
      <c r="F436" s="139">
        <v>21.44</v>
      </c>
      <c r="G436" s="140"/>
      <c r="H436" s="140"/>
      <c r="I436" s="140">
        <v>0</v>
      </c>
      <c r="J436" s="139">
        <v>1.5874999999999999</v>
      </c>
      <c r="K436" s="139">
        <v>3.175E-2</v>
      </c>
    </row>
    <row r="437" spans="1:28" x14ac:dyDescent="0.2">
      <c r="C437" s="36" t="s">
        <v>216</v>
      </c>
    </row>
    <row r="438" spans="1:28" x14ac:dyDescent="0.2">
      <c r="C438" s="20" t="s">
        <v>89</v>
      </c>
      <c r="D438" s="37">
        <v>123</v>
      </c>
      <c r="E438" s="144">
        <v>383.57550000000003</v>
      </c>
      <c r="F438" s="37" t="s">
        <v>1211</v>
      </c>
      <c r="G438" s="143">
        <v>8</v>
      </c>
      <c r="H438" s="37" t="s">
        <v>1212</v>
      </c>
      <c r="I438" s="37"/>
      <c r="J438" s="37"/>
      <c r="K438" s="37"/>
    </row>
    <row r="439" spans="1:28" x14ac:dyDescent="0.2">
      <c r="C439" s="20" t="s">
        <v>92</v>
      </c>
      <c r="D439" s="37">
        <v>75</v>
      </c>
      <c r="E439" s="144">
        <v>220.89375000000001</v>
      </c>
      <c r="F439" s="37" t="s">
        <v>1213</v>
      </c>
      <c r="G439" s="143">
        <v>4</v>
      </c>
      <c r="H439" s="37" t="s">
        <v>1214</v>
      </c>
      <c r="I439" s="37"/>
      <c r="J439" s="37"/>
      <c r="K439" s="37"/>
    </row>
    <row r="440" spans="1:28" x14ac:dyDescent="0.2">
      <c r="C440" s="20" t="s">
        <v>95</v>
      </c>
      <c r="D440" s="37"/>
      <c r="E440" s="144">
        <v>992.58925000000011</v>
      </c>
      <c r="F440" s="37"/>
      <c r="G440" s="143">
        <v>20</v>
      </c>
      <c r="H440" s="37"/>
      <c r="I440" s="37"/>
      <c r="J440" s="37"/>
      <c r="K440" s="37"/>
    </row>
    <row r="441" spans="1:28" ht="28.5" x14ac:dyDescent="0.2">
      <c r="A441" s="149" t="s">
        <v>1526</v>
      </c>
      <c r="B441" s="149" t="s">
        <v>1146</v>
      </c>
      <c r="C441" s="145" t="s">
        <v>1215</v>
      </c>
      <c r="D441" s="3">
        <v>4.0800000000000003E-2</v>
      </c>
      <c r="E441" s="141">
        <v>0</v>
      </c>
      <c r="F441" s="141">
        <v>0</v>
      </c>
      <c r="G441" s="140">
        <v>0</v>
      </c>
      <c r="H441" s="140">
        <v>0</v>
      </c>
      <c r="I441" s="142">
        <v>0</v>
      </c>
      <c r="J441" s="141">
        <v>0</v>
      </c>
      <c r="K441" s="1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</row>
    <row r="442" spans="1:28" ht="14.25" x14ac:dyDescent="0.2">
      <c r="C442" s="35" t="s">
        <v>88</v>
      </c>
      <c r="D442" s="3"/>
      <c r="E442" s="139">
        <v>0</v>
      </c>
      <c r="F442" s="139">
        <v>0</v>
      </c>
      <c r="G442" s="140"/>
      <c r="H442" s="140"/>
      <c r="I442" s="140">
        <v>0</v>
      </c>
      <c r="J442" s="139">
        <v>0</v>
      </c>
      <c r="K442" s="139">
        <v>0</v>
      </c>
    </row>
    <row r="443" spans="1:28" ht="99.75" x14ac:dyDescent="0.2">
      <c r="A443" s="149" t="s">
        <v>219</v>
      </c>
      <c r="B443" s="149" t="s">
        <v>1407</v>
      </c>
      <c r="C443" s="145" t="s">
        <v>1155</v>
      </c>
      <c r="D443" s="3">
        <v>4.1000000000000002E-2</v>
      </c>
      <c r="E443" s="141">
        <v>519.79999999999995</v>
      </c>
      <c r="F443" s="141">
        <v>0</v>
      </c>
      <c r="G443" s="140">
        <v>21</v>
      </c>
      <c r="H443" s="140">
        <v>0</v>
      </c>
      <c r="I443" s="142">
        <v>0</v>
      </c>
      <c r="J443" s="141">
        <v>0</v>
      </c>
      <c r="K443" s="141">
        <v>0</v>
      </c>
      <c r="T443">
        <v>21</v>
      </c>
      <c r="U443">
        <v>21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</row>
    <row r="444" spans="1:28" ht="14.25" x14ac:dyDescent="0.2">
      <c r="C444" s="35" t="s">
        <v>88</v>
      </c>
      <c r="D444" s="3"/>
      <c r="E444" s="139">
        <v>0</v>
      </c>
      <c r="F444" s="139">
        <v>0</v>
      </c>
      <c r="G444" s="140"/>
      <c r="H444" s="140"/>
      <c r="I444" s="140">
        <v>0</v>
      </c>
      <c r="J444" s="139">
        <v>0</v>
      </c>
      <c r="K444" s="139">
        <v>0</v>
      </c>
    </row>
    <row r="445" spans="1:28" ht="146.25" x14ac:dyDescent="0.2">
      <c r="A445" s="149" t="s">
        <v>220</v>
      </c>
      <c r="B445" s="149" t="s">
        <v>1512</v>
      </c>
      <c r="C445" s="145" t="s">
        <v>1367</v>
      </c>
      <c r="D445" s="3">
        <v>0.02</v>
      </c>
      <c r="E445" s="141">
        <v>80.78</v>
      </c>
      <c r="F445" s="141">
        <v>56.7</v>
      </c>
      <c r="G445" s="140">
        <v>1</v>
      </c>
      <c r="H445" s="140">
        <v>0</v>
      </c>
      <c r="I445" s="142">
        <v>1</v>
      </c>
      <c r="J445" s="141">
        <v>3.036</v>
      </c>
      <c r="K445" s="141">
        <v>6.0720000000000003E-2</v>
      </c>
      <c r="T445">
        <v>1</v>
      </c>
      <c r="U445">
        <v>0</v>
      </c>
      <c r="V445">
        <v>0</v>
      </c>
      <c r="W445">
        <v>1</v>
      </c>
      <c r="X445">
        <v>0</v>
      </c>
      <c r="Y445">
        <v>6.0720000000000003E-2</v>
      </c>
      <c r="Z445">
        <v>3.1500000000000007E-2</v>
      </c>
      <c r="AA445">
        <v>0</v>
      </c>
      <c r="AB445">
        <v>0</v>
      </c>
    </row>
    <row r="446" spans="1:28" ht="14.25" x14ac:dyDescent="0.2">
      <c r="C446" s="35" t="s">
        <v>97</v>
      </c>
      <c r="D446" s="3"/>
      <c r="E446" s="139">
        <v>24.08</v>
      </c>
      <c r="F446" s="139">
        <v>21.3</v>
      </c>
      <c r="G446" s="140"/>
      <c r="H446" s="140"/>
      <c r="I446" s="140">
        <v>0</v>
      </c>
      <c r="J446" s="139">
        <v>1.5750000000000002</v>
      </c>
      <c r="K446" s="139">
        <v>3.1500000000000007E-2</v>
      </c>
    </row>
    <row r="447" spans="1:28" x14ac:dyDescent="0.2">
      <c r="C447" s="36" t="s">
        <v>216</v>
      </c>
    </row>
    <row r="448" spans="1:28" ht="28.5" x14ac:dyDescent="0.2">
      <c r="A448" s="149" t="s">
        <v>1527</v>
      </c>
      <c r="B448" s="149" t="s">
        <v>1146</v>
      </c>
      <c r="C448" s="145" t="s">
        <v>1215</v>
      </c>
      <c r="D448" s="3">
        <v>6.1199999999999991E-2</v>
      </c>
      <c r="E448" s="141">
        <v>0</v>
      </c>
      <c r="F448" s="141">
        <v>0</v>
      </c>
      <c r="G448" s="140">
        <v>0</v>
      </c>
      <c r="H448" s="140">
        <v>0</v>
      </c>
      <c r="I448" s="142">
        <v>0</v>
      </c>
      <c r="J448" s="141">
        <v>0</v>
      </c>
      <c r="K448" s="141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</row>
    <row r="449" spans="1:28" ht="14.25" x14ac:dyDescent="0.2">
      <c r="C449" s="35" t="s">
        <v>88</v>
      </c>
      <c r="D449" s="3"/>
      <c r="E449" s="139">
        <v>0</v>
      </c>
      <c r="F449" s="139">
        <v>0</v>
      </c>
      <c r="G449" s="140"/>
      <c r="H449" s="140"/>
      <c r="I449" s="140">
        <v>0</v>
      </c>
      <c r="J449" s="139">
        <v>0</v>
      </c>
      <c r="K449" s="139">
        <v>0</v>
      </c>
    </row>
    <row r="450" spans="1:28" ht="99.75" x14ac:dyDescent="0.2">
      <c r="A450" s="149" t="s">
        <v>221</v>
      </c>
      <c r="B450" s="149" t="s">
        <v>1407</v>
      </c>
      <c r="C450" s="145" t="s">
        <v>1155</v>
      </c>
      <c r="D450" s="3">
        <v>6.0999999999999999E-2</v>
      </c>
      <c r="E450" s="141">
        <v>519.79999999999995</v>
      </c>
      <c r="F450" s="141">
        <v>0</v>
      </c>
      <c r="G450" s="140">
        <v>32</v>
      </c>
      <c r="H450" s="140">
        <v>0</v>
      </c>
      <c r="I450" s="142">
        <v>0</v>
      </c>
      <c r="J450" s="141">
        <v>0</v>
      </c>
      <c r="K450" s="141">
        <v>0</v>
      </c>
      <c r="T450">
        <v>32</v>
      </c>
      <c r="U450">
        <v>32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</row>
    <row r="451" spans="1:28" ht="14.25" x14ac:dyDescent="0.2">
      <c r="C451" s="35" t="s">
        <v>88</v>
      </c>
      <c r="D451" s="3"/>
      <c r="E451" s="139">
        <v>0</v>
      </c>
      <c r="F451" s="139">
        <v>0</v>
      </c>
      <c r="G451" s="140"/>
      <c r="H451" s="140"/>
      <c r="I451" s="140">
        <v>0</v>
      </c>
      <c r="J451" s="139">
        <v>0</v>
      </c>
      <c r="K451" s="139">
        <v>0</v>
      </c>
    </row>
    <row r="452" spans="1:28" ht="119.25" x14ac:dyDescent="0.2">
      <c r="A452" s="149" t="s">
        <v>222</v>
      </c>
      <c r="B452" s="149" t="s">
        <v>1528</v>
      </c>
      <c r="C452" s="145" t="s">
        <v>1110</v>
      </c>
      <c r="D452" s="3">
        <v>0.02</v>
      </c>
      <c r="E452" s="141">
        <v>1527.54</v>
      </c>
      <c r="F452" s="141">
        <v>1.64</v>
      </c>
      <c r="G452" s="140">
        <v>31</v>
      </c>
      <c r="H452" s="140">
        <v>1</v>
      </c>
      <c r="I452" s="142">
        <v>0</v>
      </c>
      <c r="J452" s="141">
        <v>3.9674999999999998</v>
      </c>
      <c r="K452" s="141">
        <v>7.9350000000000004E-2</v>
      </c>
      <c r="T452">
        <v>33</v>
      </c>
      <c r="U452">
        <v>30</v>
      </c>
      <c r="V452">
        <v>1</v>
      </c>
      <c r="W452">
        <v>0</v>
      </c>
      <c r="X452">
        <v>0</v>
      </c>
      <c r="Y452">
        <v>7.9350000000000004E-2</v>
      </c>
      <c r="Z452">
        <v>5.0000000000000001E-4</v>
      </c>
      <c r="AA452">
        <v>1</v>
      </c>
      <c r="AB452">
        <v>1</v>
      </c>
    </row>
    <row r="453" spans="1:28" ht="14.25" x14ac:dyDescent="0.2">
      <c r="C453" s="35" t="s">
        <v>97</v>
      </c>
      <c r="D453" s="3"/>
      <c r="E453" s="139">
        <v>33.840000000000003</v>
      </c>
      <c r="F453" s="139">
        <v>0.28999999999999998</v>
      </c>
      <c r="G453" s="140"/>
      <c r="H453" s="140"/>
      <c r="I453" s="140">
        <v>0</v>
      </c>
      <c r="J453" s="139">
        <v>2.5000000000000001E-2</v>
      </c>
      <c r="K453" s="139">
        <v>5.0000000000000001E-4</v>
      </c>
    </row>
    <row r="454" spans="1:28" x14ac:dyDescent="0.2">
      <c r="C454" s="36" t="s">
        <v>216</v>
      </c>
    </row>
    <row r="455" spans="1:28" x14ac:dyDescent="0.2">
      <c r="C455" s="20" t="s">
        <v>89</v>
      </c>
      <c r="D455" s="37">
        <v>123</v>
      </c>
      <c r="E455" s="144">
        <v>37.781910000000003</v>
      </c>
      <c r="F455" s="37" t="s">
        <v>1211</v>
      </c>
      <c r="G455" s="143">
        <v>1</v>
      </c>
      <c r="H455" s="37" t="s">
        <v>1212</v>
      </c>
      <c r="I455" s="37"/>
      <c r="J455" s="37"/>
      <c r="K455" s="37"/>
    </row>
    <row r="456" spans="1:28" x14ac:dyDescent="0.2">
      <c r="C456" s="20" t="s">
        <v>92</v>
      </c>
      <c r="D456" s="37">
        <v>75</v>
      </c>
      <c r="E456" s="144">
        <v>21.757875000000002</v>
      </c>
      <c r="F456" s="37" t="s">
        <v>1213</v>
      </c>
      <c r="G456" s="143">
        <v>1</v>
      </c>
      <c r="H456" s="37" t="s">
        <v>1214</v>
      </c>
      <c r="I456" s="37"/>
      <c r="J456" s="37"/>
      <c r="K456" s="37"/>
    </row>
    <row r="457" spans="1:28" x14ac:dyDescent="0.2">
      <c r="C457" s="20" t="s">
        <v>95</v>
      </c>
      <c r="D457" s="37"/>
      <c r="E457" s="144">
        <v>1587.0797849999999</v>
      </c>
      <c r="F457" s="37"/>
      <c r="G457" s="143">
        <v>33</v>
      </c>
      <c r="H457" s="37"/>
      <c r="I457" s="37"/>
      <c r="J457" s="37"/>
      <c r="K457" s="37"/>
    </row>
    <row r="458" spans="1:28" ht="119.25" x14ac:dyDescent="0.2">
      <c r="A458" s="149" t="s">
        <v>102</v>
      </c>
      <c r="B458" s="149" t="s">
        <v>1528</v>
      </c>
      <c r="C458" s="145" t="s">
        <v>1110</v>
      </c>
      <c r="D458" s="3">
        <v>0.02</v>
      </c>
      <c r="E458" s="141">
        <v>1527.54</v>
      </c>
      <c r="F458" s="141">
        <v>1.64</v>
      </c>
      <c r="G458" s="140">
        <v>31</v>
      </c>
      <c r="H458" s="140">
        <v>1</v>
      </c>
      <c r="I458" s="142">
        <v>0</v>
      </c>
      <c r="J458" s="141">
        <v>3.9674999999999998</v>
      </c>
      <c r="K458" s="141">
        <v>7.9350000000000004E-2</v>
      </c>
      <c r="T458">
        <v>33</v>
      </c>
      <c r="U458">
        <v>30</v>
      </c>
      <c r="V458">
        <v>1</v>
      </c>
      <c r="W458">
        <v>0</v>
      </c>
      <c r="X458">
        <v>0</v>
      </c>
      <c r="Y458">
        <v>7.9350000000000004E-2</v>
      </c>
      <c r="Z458">
        <v>5.0000000000000001E-4</v>
      </c>
      <c r="AA458">
        <v>1</v>
      </c>
      <c r="AB458">
        <v>1</v>
      </c>
    </row>
    <row r="459" spans="1:28" ht="14.25" x14ac:dyDescent="0.2">
      <c r="C459" s="35" t="s">
        <v>97</v>
      </c>
      <c r="D459" s="3"/>
      <c r="E459" s="139">
        <v>33.840000000000003</v>
      </c>
      <c r="F459" s="139">
        <v>0.28999999999999998</v>
      </c>
      <c r="G459" s="140"/>
      <c r="H459" s="140"/>
      <c r="I459" s="140">
        <v>0</v>
      </c>
      <c r="J459" s="139">
        <v>2.5000000000000001E-2</v>
      </c>
      <c r="K459" s="139">
        <v>5.0000000000000001E-4</v>
      </c>
    </row>
    <row r="460" spans="1:28" x14ac:dyDescent="0.2">
      <c r="C460" s="36" t="s">
        <v>216</v>
      </c>
    </row>
    <row r="461" spans="1:28" x14ac:dyDescent="0.2">
      <c r="C461" s="20" t="s">
        <v>89</v>
      </c>
      <c r="D461" s="37">
        <v>123</v>
      </c>
      <c r="E461" s="144">
        <v>37.781910000000003</v>
      </c>
      <c r="F461" s="37" t="s">
        <v>1211</v>
      </c>
      <c r="G461" s="143">
        <v>1</v>
      </c>
      <c r="H461" s="37" t="s">
        <v>1212</v>
      </c>
      <c r="I461" s="37"/>
      <c r="J461" s="37"/>
      <c r="K461" s="37"/>
    </row>
    <row r="462" spans="1:28" x14ac:dyDescent="0.2">
      <c r="C462" s="20" t="s">
        <v>92</v>
      </c>
      <c r="D462" s="37">
        <v>75</v>
      </c>
      <c r="E462" s="144">
        <v>21.757875000000002</v>
      </c>
      <c r="F462" s="37" t="s">
        <v>1213</v>
      </c>
      <c r="G462" s="143">
        <v>1</v>
      </c>
      <c r="H462" s="37" t="s">
        <v>1214</v>
      </c>
      <c r="I462" s="37"/>
      <c r="J462" s="37"/>
      <c r="K462" s="37"/>
    </row>
    <row r="463" spans="1:28" x14ac:dyDescent="0.2">
      <c r="C463" s="20" t="s">
        <v>95</v>
      </c>
      <c r="D463" s="37"/>
      <c r="E463" s="144">
        <v>1587.0797849999999</v>
      </c>
      <c r="F463" s="37"/>
      <c r="G463" s="143">
        <v>33</v>
      </c>
      <c r="H463" s="37"/>
      <c r="I463" s="37"/>
      <c r="J463" s="37"/>
      <c r="K463" s="37"/>
    </row>
    <row r="464" spans="1:28" ht="105" x14ac:dyDescent="0.2">
      <c r="A464" s="149" t="s">
        <v>109</v>
      </c>
      <c r="B464" s="149" t="s">
        <v>1517</v>
      </c>
      <c r="C464" s="145" t="s">
        <v>1117</v>
      </c>
      <c r="D464" s="3">
        <v>0.02</v>
      </c>
      <c r="E464" s="141">
        <v>389.01</v>
      </c>
      <c r="F464" s="141">
        <v>52.17</v>
      </c>
      <c r="G464" s="140">
        <v>8</v>
      </c>
      <c r="H464" s="140">
        <v>7</v>
      </c>
      <c r="I464" s="142">
        <v>1</v>
      </c>
      <c r="J464" s="141">
        <v>42.089999999999996</v>
      </c>
      <c r="K464" s="141">
        <v>0.84179999999999999</v>
      </c>
      <c r="T464">
        <v>20</v>
      </c>
      <c r="U464">
        <v>0</v>
      </c>
      <c r="V464">
        <v>7</v>
      </c>
      <c r="W464">
        <v>1</v>
      </c>
      <c r="X464">
        <v>0</v>
      </c>
      <c r="Y464">
        <v>0.84179999999999999</v>
      </c>
      <c r="Z464">
        <v>3.175E-2</v>
      </c>
      <c r="AA464">
        <v>8</v>
      </c>
      <c r="AB464">
        <v>4</v>
      </c>
    </row>
    <row r="465" spans="1:28" ht="14.25" x14ac:dyDescent="0.2">
      <c r="C465" s="35" t="s">
        <v>97</v>
      </c>
      <c r="D465" s="3"/>
      <c r="E465" s="139">
        <v>328.3</v>
      </c>
      <c r="F465" s="139">
        <v>21.44</v>
      </c>
      <c r="G465" s="140"/>
      <c r="H465" s="140"/>
      <c r="I465" s="140">
        <v>0</v>
      </c>
      <c r="J465" s="139">
        <v>1.5874999999999999</v>
      </c>
      <c r="K465" s="139">
        <v>3.175E-2</v>
      </c>
    </row>
    <row r="466" spans="1:28" x14ac:dyDescent="0.2">
      <c r="C466" s="36" t="s">
        <v>216</v>
      </c>
    </row>
    <row r="467" spans="1:28" x14ac:dyDescent="0.2">
      <c r="C467" s="20" t="s">
        <v>89</v>
      </c>
      <c r="D467" s="37">
        <v>123</v>
      </c>
      <c r="E467" s="144">
        <v>387.16218000000003</v>
      </c>
      <c r="F467" s="37" t="s">
        <v>1211</v>
      </c>
      <c r="G467" s="143">
        <v>8</v>
      </c>
      <c r="H467" s="37" t="s">
        <v>1212</v>
      </c>
      <c r="I467" s="37"/>
      <c r="J467" s="37"/>
      <c r="K467" s="37"/>
    </row>
    <row r="468" spans="1:28" x14ac:dyDescent="0.2">
      <c r="C468" s="20" t="s">
        <v>92</v>
      </c>
      <c r="D468" s="37">
        <v>75</v>
      </c>
      <c r="E468" s="144">
        <v>222.95925</v>
      </c>
      <c r="F468" s="37" t="s">
        <v>1213</v>
      </c>
      <c r="G468" s="143">
        <v>4</v>
      </c>
      <c r="H468" s="37" t="s">
        <v>1214</v>
      </c>
      <c r="I468" s="37"/>
      <c r="J468" s="37"/>
      <c r="K468" s="37"/>
    </row>
    <row r="469" spans="1:28" x14ac:dyDescent="0.2">
      <c r="C469" s="20" t="s">
        <v>95</v>
      </c>
      <c r="D469" s="37"/>
      <c r="E469" s="144">
        <v>999.13143000000002</v>
      </c>
      <c r="F469" s="37"/>
      <c r="G469" s="143">
        <v>20</v>
      </c>
      <c r="H469" s="37"/>
      <c r="I469" s="37"/>
      <c r="J469" s="37"/>
      <c r="K469" s="37"/>
    </row>
    <row r="470" spans="1:28" ht="14.25" x14ac:dyDescent="0.2">
      <c r="A470" s="149" t="s">
        <v>1529</v>
      </c>
      <c r="B470" s="149" t="s">
        <v>1146</v>
      </c>
      <c r="C470" s="145" t="s">
        <v>1173</v>
      </c>
      <c r="D470" s="3">
        <v>4.0800000000000003E-2</v>
      </c>
      <c r="E470" s="141">
        <v>0</v>
      </c>
      <c r="F470" s="141">
        <v>0</v>
      </c>
      <c r="G470" s="140">
        <v>0</v>
      </c>
      <c r="H470" s="140">
        <v>0</v>
      </c>
      <c r="I470" s="142">
        <v>0</v>
      </c>
      <c r="J470" s="141">
        <v>0</v>
      </c>
      <c r="K470" s="141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</row>
    <row r="471" spans="1:28" ht="14.25" x14ac:dyDescent="0.2">
      <c r="C471" s="35" t="s">
        <v>88</v>
      </c>
      <c r="D471" s="3"/>
      <c r="E471" s="139">
        <v>0</v>
      </c>
      <c r="F471" s="139">
        <v>0</v>
      </c>
      <c r="G471" s="140"/>
      <c r="H471" s="140"/>
      <c r="I471" s="140">
        <v>0</v>
      </c>
      <c r="J471" s="139">
        <v>0</v>
      </c>
      <c r="K471" s="139">
        <v>0</v>
      </c>
    </row>
    <row r="472" spans="1:28" ht="99.75" x14ac:dyDescent="0.2">
      <c r="A472" s="149" t="s">
        <v>223</v>
      </c>
      <c r="B472" s="149" t="s">
        <v>1465</v>
      </c>
      <c r="C472" s="145" t="s">
        <v>1224</v>
      </c>
      <c r="D472" s="3">
        <v>4.1000000000000002E-2</v>
      </c>
      <c r="E472" s="141">
        <v>725.69</v>
      </c>
      <c r="F472" s="141">
        <v>0</v>
      </c>
      <c r="G472" s="140">
        <v>30</v>
      </c>
      <c r="H472" s="140">
        <v>0</v>
      </c>
      <c r="I472" s="142">
        <v>0</v>
      </c>
      <c r="J472" s="141">
        <v>0</v>
      </c>
      <c r="K472" s="141">
        <v>0</v>
      </c>
      <c r="T472">
        <v>30</v>
      </c>
      <c r="U472">
        <v>30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</row>
    <row r="473" spans="1:28" ht="14.25" x14ac:dyDescent="0.2">
      <c r="C473" s="35" t="s">
        <v>88</v>
      </c>
      <c r="D473" s="3"/>
      <c r="E473" s="139">
        <v>0</v>
      </c>
      <c r="F473" s="139">
        <v>0</v>
      </c>
      <c r="G473" s="140"/>
      <c r="H473" s="140"/>
      <c r="I473" s="140">
        <v>0</v>
      </c>
      <c r="J473" s="139">
        <v>0</v>
      </c>
      <c r="K473" s="139">
        <v>0</v>
      </c>
    </row>
    <row r="474" spans="1:28" ht="146.25" x14ac:dyDescent="0.2">
      <c r="A474" s="149" t="s">
        <v>224</v>
      </c>
      <c r="B474" s="149" t="s">
        <v>1518</v>
      </c>
      <c r="C474" s="145" t="s">
        <v>1366</v>
      </c>
      <c r="D474" s="3">
        <v>0.02</v>
      </c>
      <c r="E474" s="141">
        <v>214.31</v>
      </c>
      <c r="F474" s="141">
        <v>151.19999999999999</v>
      </c>
      <c r="G474" s="140">
        <v>4</v>
      </c>
      <c r="H474" s="140">
        <v>1</v>
      </c>
      <c r="I474" s="142">
        <v>3</v>
      </c>
      <c r="J474" s="141">
        <v>8.0960000000000001</v>
      </c>
      <c r="K474" s="141">
        <v>0.16192000000000001</v>
      </c>
      <c r="T474">
        <v>7</v>
      </c>
      <c r="U474">
        <v>0</v>
      </c>
      <c r="V474">
        <v>1</v>
      </c>
      <c r="W474">
        <v>3</v>
      </c>
      <c r="X474">
        <v>1</v>
      </c>
      <c r="Y474">
        <v>0.16192000000000001</v>
      </c>
      <c r="Z474">
        <v>8.4000000000000005E-2</v>
      </c>
      <c r="AA474">
        <v>2</v>
      </c>
      <c r="AB474">
        <v>1</v>
      </c>
    </row>
    <row r="475" spans="1:28" ht="14.25" x14ac:dyDescent="0.2">
      <c r="C475" s="35" t="s">
        <v>97</v>
      </c>
      <c r="D475" s="3"/>
      <c r="E475" s="139">
        <v>63.11</v>
      </c>
      <c r="F475" s="139">
        <v>56.8</v>
      </c>
      <c r="G475" s="140"/>
      <c r="H475" s="140"/>
      <c r="I475" s="140">
        <v>1</v>
      </c>
      <c r="J475" s="139">
        <v>4.2</v>
      </c>
      <c r="K475" s="139">
        <v>8.4000000000000005E-2</v>
      </c>
    </row>
    <row r="476" spans="1:28" x14ac:dyDescent="0.2">
      <c r="C476" s="36" t="s">
        <v>216</v>
      </c>
    </row>
    <row r="477" spans="1:28" x14ac:dyDescent="0.2">
      <c r="C477" s="20" t="s">
        <v>89</v>
      </c>
      <c r="D477" s="37">
        <v>123</v>
      </c>
      <c r="E477" s="144">
        <v>132.74037000000001</v>
      </c>
      <c r="F477" s="37" t="s">
        <v>1211</v>
      </c>
      <c r="G477" s="143">
        <v>2</v>
      </c>
      <c r="H477" s="37" t="s">
        <v>1212</v>
      </c>
      <c r="I477" s="37"/>
      <c r="J477" s="37"/>
      <c r="K477" s="37"/>
    </row>
    <row r="478" spans="1:28" x14ac:dyDescent="0.2">
      <c r="C478" s="20" t="s">
        <v>92</v>
      </c>
      <c r="D478" s="37">
        <v>75</v>
      </c>
      <c r="E478" s="144">
        <v>76.442624999999992</v>
      </c>
      <c r="F478" s="37" t="s">
        <v>1213</v>
      </c>
      <c r="G478" s="143">
        <v>1</v>
      </c>
      <c r="H478" s="37" t="s">
        <v>1214</v>
      </c>
      <c r="I478" s="37"/>
      <c r="J478" s="37"/>
      <c r="K478" s="37"/>
    </row>
    <row r="479" spans="1:28" x14ac:dyDescent="0.2">
      <c r="C479" s="20" t="s">
        <v>95</v>
      </c>
      <c r="D479" s="37"/>
      <c r="E479" s="144">
        <v>423.49299500000001</v>
      </c>
      <c r="F479" s="37"/>
      <c r="G479" s="143">
        <v>7</v>
      </c>
      <c r="H479" s="37"/>
      <c r="I479" s="37"/>
      <c r="J479" s="37"/>
      <c r="K479" s="37"/>
    </row>
    <row r="480" spans="1:28" ht="14.25" x14ac:dyDescent="0.2">
      <c r="A480" s="149" t="s">
        <v>1530</v>
      </c>
      <c r="B480" s="149" t="s">
        <v>1146</v>
      </c>
      <c r="C480" s="145" t="s">
        <v>1173</v>
      </c>
      <c r="D480" s="3">
        <v>0.16320000000000001</v>
      </c>
      <c r="E480" s="141">
        <v>0</v>
      </c>
      <c r="F480" s="141">
        <v>0</v>
      </c>
      <c r="G480" s="140">
        <v>0</v>
      </c>
      <c r="H480" s="140">
        <v>0</v>
      </c>
      <c r="I480" s="142">
        <v>0</v>
      </c>
      <c r="J480" s="141">
        <v>0</v>
      </c>
      <c r="K480" s="141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</row>
    <row r="481" spans="1:28" ht="14.25" x14ac:dyDescent="0.2">
      <c r="C481" s="35" t="s">
        <v>88</v>
      </c>
      <c r="D481" s="3"/>
      <c r="E481" s="139">
        <v>0</v>
      </c>
      <c r="F481" s="139">
        <v>0</v>
      </c>
      <c r="G481" s="140"/>
      <c r="H481" s="140"/>
      <c r="I481" s="140">
        <v>0</v>
      </c>
      <c r="J481" s="139">
        <v>0</v>
      </c>
      <c r="K481" s="139">
        <v>0</v>
      </c>
    </row>
    <row r="482" spans="1:28" ht="99.75" x14ac:dyDescent="0.2">
      <c r="A482" s="149" t="s">
        <v>225</v>
      </c>
      <c r="B482" s="149" t="s">
        <v>1465</v>
      </c>
      <c r="C482" s="145" t="s">
        <v>1224</v>
      </c>
      <c r="D482" s="3">
        <v>0.16300000000000001</v>
      </c>
      <c r="E482" s="141">
        <v>725.69</v>
      </c>
      <c r="F482" s="141">
        <v>0</v>
      </c>
      <c r="G482" s="140">
        <v>118</v>
      </c>
      <c r="H482" s="140">
        <v>0</v>
      </c>
      <c r="I482" s="142">
        <v>0</v>
      </c>
      <c r="J482" s="141">
        <v>0</v>
      </c>
      <c r="K482" s="141">
        <v>0</v>
      </c>
      <c r="T482">
        <v>118</v>
      </c>
      <c r="U482">
        <v>118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</row>
    <row r="483" spans="1:28" ht="14.25" x14ac:dyDescent="0.2">
      <c r="C483" s="35" t="s">
        <v>88</v>
      </c>
      <c r="D483" s="3"/>
      <c r="E483" s="139">
        <v>0</v>
      </c>
      <c r="F483" s="139">
        <v>0</v>
      </c>
      <c r="G483" s="140"/>
      <c r="H483" s="140"/>
      <c r="I483" s="140">
        <v>0</v>
      </c>
      <c r="J483" s="139">
        <v>0</v>
      </c>
      <c r="K483" s="139">
        <v>0</v>
      </c>
    </row>
    <row r="484" spans="1:28" ht="105" x14ac:dyDescent="0.2">
      <c r="A484" s="149" t="s">
        <v>145</v>
      </c>
      <c r="B484" s="149" t="s">
        <v>1428</v>
      </c>
      <c r="C484" s="145" t="s">
        <v>1109</v>
      </c>
      <c r="D484" s="3">
        <v>6.0000000000000001E-3</v>
      </c>
      <c r="E484" s="141">
        <v>441.87</v>
      </c>
      <c r="F484" s="141">
        <v>38.07</v>
      </c>
      <c r="G484" s="140">
        <v>3</v>
      </c>
      <c r="H484" s="140">
        <v>1</v>
      </c>
      <c r="I484" s="142">
        <v>0</v>
      </c>
      <c r="J484" s="141">
        <v>13.339999999999998</v>
      </c>
      <c r="K484" s="141">
        <v>8.0039999999999986E-2</v>
      </c>
      <c r="T484">
        <v>5</v>
      </c>
      <c r="U484">
        <v>2</v>
      </c>
      <c r="V484">
        <v>1</v>
      </c>
      <c r="W484">
        <v>0</v>
      </c>
      <c r="X484">
        <v>0</v>
      </c>
      <c r="Y484">
        <v>8.0039999999999986E-2</v>
      </c>
      <c r="Z484">
        <v>2.6250000000000002E-3</v>
      </c>
      <c r="AA484">
        <v>1</v>
      </c>
      <c r="AB484">
        <v>1</v>
      </c>
    </row>
    <row r="485" spans="1:28" ht="14.25" x14ac:dyDescent="0.2">
      <c r="C485" s="35" t="s">
        <v>99</v>
      </c>
      <c r="D485" s="3"/>
      <c r="E485" s="139">
        <v>118.2</v>
      </c>
      <c r="F485" s="139">
        <v>5.44</v>
      </c>
      <c r="G485" s="140"/>
      <c r="H485" s="140"/>
      <c r="I485" s="140">
        <v>0</v>
      </c>
      <c r="J485" s="139">
        <v>0.4375</v>
      </c>
      <c r="K485" s="139">
        <v>2.6250000000000002E-3</v>
      </c>
    </row>
    <row r="486" spans="1:28" x14ac:dyDescent="0.2">
      <c r="C486" s="36" t="s">
        <v>1235</v>
      </c>
    </row>
    <row r="487" spans="1:28" x14ac:dyDescent="0.2">
      <c r="C487" s="20" t="s">
        <v>89</v>
      </c>
      <c r="D487" s="37">
        <v>105</v>
      </c>
      <c r="E487" s="144">
        <v>116.8398</v>
      </c>
      <c r="F487" s="37" t="s">
        <v>1130</v>
      </c>
      <c r="G487" s="143">
        <v>1</v>
      </c>
      <c r="H487" s="37" t="s">
        <v>1131</v>
      </c>
      <c r="I487" s="37"/>
      <c r="J487" s="37"/>
      <c r="K487" s="37"/>
    </row>
    <row r="488" spans="1:28" x14ac:dyDescent="0.2">
      <c r="C488" s="20" t="s">
        <v>92</v>
      </c>
      <c r="D488" s="37">
        <v>65</v>
      </c>
      <c r="E488" s="144">
        <v>68.311099999999996</v>
      </c>
      <c r="F488" s="37" t="s">
        <v>1205</v>
      </c>
      <c r="G488" s="143">
        <v>1</v>
      </c>
      <c r="H488" s="37" t="s">
        <v>1206</v>
      </c>
      <c r="I488" s="37"/>
      <c r="J488" s="37"/>
      <c r="K488" s="37"/>
    </row>
    <row r="489" spans="1:28" x14ac:dyDescent="0.2">
      <c r="C489" s="20" t="s">
        <v>95</v>
      </c>
      <c r="D489" s="37"/>
      <c r="E489" s="144">
        <v>627.02089999999998</v>
      </c>
      <c r="F489" s="37"/>
      <c r="G489" s="143">
        <v>5</v>
      </c>
      <c r="H489" s="37"/>
      <c r="I489" s="37"/>
      <c r="J489" s="37"/>
      <c r="K489" s="37"/>
    </row>
    <row r="490" spans="1:28" ht="14.25" x14ac:dyDescent="0.2">
      <c r="A490" s="149" t="s">
        <v>1531</v>
      </c>
      <c r="B490" s="149" t="s">
        <v>1146</v>
      </c>
      <c r="C490" s="145" t="s">
        <v>1228</v>
      </c>
      <c r="D490" s="3">
        <v>6.0000000000000001E-3</v>
      </c>
      <c r="E490" s="141">
        <v>0</v>
      </c>
      <c r="F490" s="141">
        <v>0</v>
      </c>
      <c r="G490" s="140">
        <v>0</v>
      </c>
      <c r="H490" s="140">
        <v>0</v>
      </c>
      <c r="I490" s="142">
        <v>0</v>
      </c>
      <c r="J490" s="141">
        <v>0</v>
      </c>
      <c r="K490" s="141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</row>
    <row r="491" spans="1:28" ht="14.25" x14ac:dyDescent="0.2">
      <c r="C491" s="35" t="s">
        <v>99</v>
      </c>
      <c r="D491" s="3"/>
      <c r="E491" s="139">
        <v>0</v>
      </c>
      <c r="F491" s="139">
        <v>0</v>
      </c>
      <c r="G491" s="140"/>
      <c r="H491" s="140"/>
      <c r="I491" s="140">
        <v>0</v>
      </c>
      <c r="J491" s="139">
        <v>0</v>
      </c>
      <c r="K491" s="139">
        <v>0</v>
      </c>
    </row>
    <row r="492" spans="1:28" ht="99.75" x14ac:dyDescent="0.2">
      <c r="A492" s="149" t="s">
        <v>226</v>
      </c>
      <c r="B492" s="149" t="s">
        <v>1430</v>
      </c>
      <c r="C492" s="145" t="s">
        <v>1229</v>
      </c>
      <c r="D492" s="3">
        <v>6.0000000000000001E-3</v>
      </c>
      <c r="E492" s="141">
        <v>7200</v>
      </c>
      <c r="F492" s="141">
        <v>0</v>
      </c>
      <c r="G492" s="140">
        <v>43</v>
      </c>
      <c r="H492" s="140">
        <v>0</v>
      </c>
      <c r="I492" s="142">
        <v>0</v>
      </c>
      <c r="J492" s="141">
        <v>0</v>
      </c>
      <c r="K492" s="141">
        <v>0</v>
      </c>
      <c r="T492">
        <v>43</v>
      </c>
      <c r="U492">
        <v>43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</row>
    <row r="493" spans="1:28" ht="14.25" x14ac:dyDescent="0.2">
      <c r="C493" s="35" t="s">
        <v>99</v>
      </c>
      <c r="D493" s="3"/>
      <c r="E493" s="139">
        <v>0</v>
      </c>
      <c r="F493" s="139">
        <v>0</v>
      </c>
      <c r="G493" s="140"/>
      <c r="H493" s="140"/>
      <c r="I493" s="140">
        <v>0</v>
      </c>
      <c r="J493" s="139">
        <v>0</v>
      </c>
      <c r="K493" s="139">
        <v>0</v>
      </c>
    </row>
    <row r="494" spans="1:28" ht="99.75" x14ac:dyDescent="0.2">
      <c r="A494" s="149" t="s">
        <v>227</v>
      </c>
      <c r="B494" s="149" t="s">
        <v>1532</v>
      </c>
      <c r="C494" s="145" t="s">
        <v>1533</v>
      </c>
      <c r="D494" s="3">
        <v>1.7250000000000001</v>
      </c>
      <c r="E494" s="141">
        <v>130.93</v>
      </c>
      <c r="F494" s="141">
        <v>99.38</v>
      </c>
      <c r="G494" s="140">
        <v>225</v>
      </c>
      <c r="H494" s="140">
        <v>54</v>
      </c>
      <c r="I494" s="142">
        <v>171</v>
      </c>
      <c r="J494" s="141">
        <v>3.28</v>
      </c>
      <c r="K494" s="141">
        <v>5.6580000000000004</v>
      </c>
      <c r="T494">
        <v>321</v>
      </c>
      <c r="U494">
        <v>0</v>
      </c>
      <c r="V494">
        <v>54</v>
      </c>
      <c r="W494">
        <v>171</v>
      </c>
      <c r="X494">
        <v>7</v>
      </c>
      <c r="Y494">
        <v>5.6580000000000004</v>
      </c>
      <c r="Z494">
        <v>0.60375000000000001</v>
      </c>
      <c r="AA494">
        <v>60</v>
      </c>
      <c r="AB494">
        <v>36</v>
      </c>
    </row>
    <row r="495" spans="1:28" ht="14.25" x14ac:dyDescent="0.2">
      <c r="C495" s="35" t="s">
        <v>169</v>
      </c>
      <c r="D495" s="3"/>
      <c r="E495" s="139">
        <v>31.55</v>
      </c>
      <c r="F495" s="139">
        <v>4.0599999999999996</v>
      </c>
      <c r="G495" s="140"/>
      <c r="H495" s="140"/>
      <c r="I495" s="140">
        <v>7</v>
      </c>
      <c r="J495" s="139">
        <v>0.35</v>
      </c>
      <c r="K495" s="139">
        <v>0.60375000000000001</v>
      </c>
    </row>
    <row r="496" spans="1:28" x14ac:dyDescent="0.2">
      <c r="C496" s="36" t="s">
        <v>1236</v>
      </c>
    </row>
    <row r="497" spans="1:28" x14ac:dyDescent="0.2">
      <c r="C497" s="20" t="s">
        <v>89</v>
      </c>
      <c r="D497" s="37">
        <v>110</v>
      </c>
      <c r="E497" s="144">
        <v>35.253900000000002</v>
      </c>
      <c r="F497" s="37" t="s">
        <v>90</v>
      </c>
      <c r="G497" s="143">
        <v>60</v>
      </c>
      <c r="H497" s="37" t="s">
        <v>91</v>
      </c>
      <c r="I497" s="37"/>
      <c r="J497" s="37"/>
      <c r="K497" s="37"/>
    </row>
    <row r="498" spans="1:28" x14ac:dyDescent="0.2">
      <c r="C498" s="20" t="s">
        <v>92</v>
      </c>
      <c r="D498" s="37">
        <v>70</v>
      </c>
      <c r="E498" s="144">
        <v>21.187950000000001</v>
      </c>
      <c r="F498" s="37" t="s">
        <v>93</v>
      </c>
      <c r="G498" s="143">
        <v>36</v>
      </c>
      <c r="H498" s="37" t="s">
        <v>94</v>
      </c>
      <c r="I498" s="37"/>
      <c r="J498" s="37"/>
      <c r="K498" s="37"/>
    </row>
    <row r="499" spans="1:28" x14ac:dyDescent="0.2">
      <c r="C499" s="20" t="s">
        <v>95</v>
      </c>
      <c r="D499" s="37"/>
      <c r="E499" s="144">
        <v>187.37184999999999</v>
      </c>
      <c r="F499" s="37"/>
      <c r="G499" s="143">
        <v>321</v>
      </c>
      <c r="H499" s="37"/>
      <c r="I499" s="37"/>
      <c r="J499" s="37"/>
      <c r="K499" s="37"/>
    </row>
    <row r="500" spans="1:28" ht="14.25" x14ac:dyDescent="0.2">
      <c r="A500" s="149" t="s">
        <v>1534</v>
      </c>
      <c r="B500" s="149" t="s">
        <v>1146</v>
      </c>
      <c r="C500" s="145" t="s">
        <v>1237</v>
      </c>
      <c r="D500" s="3">
        <v>175.60500000000002</v>
      </c>
      <c r="E500" s="141">
        <v>0</v>
      </c>
      <c r="F500" s="141">
        <v>0</v>
      </c>
      <c r="G500" s="140">
        <v>0</v>
      </c>
      <c r="H500" s="140">
        <v>0</v>
      </c>
      <c r="I500" s="142">
        <v>0</v>
      </c>
      <c r="J500" s="141">
        <v>0</v>
      </c>
      <c r="K500" s="141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</row>
    <row r="501" spans="1:28" ht="14.25" x14ac:dyDescent="0.2">
      <c r="C501" s="35" t="s">
        <v>171</v>
      </c>
      <c r="D501" s="3"/>
      <c r="E501" s="139">
        <v>0</v>
      </c>
      <c r="F501" s="139">
        <v>0</v>
      </c>
      <c r="G501" s="140"/>
      <c r="H501" s="140"/>
      <c r="I501" s="140">
        <v>0</v>
      </c>
      <c r="J501" s="139">
        <v>0</v>
      </c>
      <c r="K501" s="139">
        <v>0</v>
      </c>
    </row>
    <row r="502" spans="1:28" ht="99.75" x14ac:dyDescent="0.2">
      <c r="A502" s="149" t="s">
        <v>228</v>
      </c>
      <c r="B502" s="149" t="s">
        <v>1535</v>
      </c>
      <c r="C502" s="145" t="s">
        <v>1238</v>
      </c>
      <c r="D502" s="3">
        <v>175.60499999999999</v>
      </c>
      <c r="E502" s="141">
        <v>10.09</v>
      </c>
      <c r="F502" s="141">
        <v>0</v>
      </c>
      <c r="G502" s="140">
        <v>1772</v>
      </c>
      <c r="H502" s="140">
        <v>0</v>
      </c>
      <c r="I502" s="142">
        <v>0</v>
      </c>
      <c r="J502" s="141">
        <v>0</v>
      </c>
      <c r="K502" s="141">
        <v>0</v>
      </c>
      <c r="T502">
        <v>1772</v>
      </c>
      <c r="U502">
        <v>1772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</row>
    <row r="503" spans="1:28" ht="14.25" x14ac:dyDescent="0.2">
      <c r="C503" s="35" t="s">
        <v>171</v>
      </c>
      <c r="D503" s="3"/>
      <c r="E503" s="139">
        <v>0</v>
      </c>
      <c r="F503" s="139">
        <v>0</v>
      </c>
      <c r="G503" s="140"/>
      <c r="H503" s="140"/>
      <c r="I503" s="140">
        <v>0</v>
      </c>
      <c r="J503" s="139">
        <v>0</v>
      </c>
      <c r="K503" s="139">
        <v>0</v>
      </c>
    </row>
    <row r="504" spans="1:28" ht="162" x14ac:dyDescent="0.2">
      <c r="A504" s="149" t="s">
        <v>229</v>
      </c>
      <c r="B504" s="149" t="s">
        <v>1536</v>
      </c>
      <c r="C504" s="145" t="s">
        <v>1365</v>
      </c>
      <c r="D504" s="3">
        <v>8.5000000000000006E-2</v>
      </c>
      <c r="E504" s="141">
        <v>1257.6099999999999</v>
      </c>
      <c r="F504" s="141">
        <v>39.69</v>
      </c>
      <c r="G504" s="140">
        <v>106</v>
      </c>
      <c r="H504" s="140">
        <v>103</v>
      </c>
      <c r="I504" s="142">
        <v>3</v>
      </c>
      <c r="J504" s="141">
        <v>132.54900000000001</v>
      </c>
      <c r="K504" s="141">
        <v>11.266665000000001</v>
      </c>
      <c r="T504">
        <v>254</v>
      </c>
      <c r="U504">
        <v>0</v>
      </c>
      <c r="V504">
        <v>103</v>
      </c>
      <c r="W504">
        <v>3</v>
      </c>
      <c r="X504">
        <v>2</v>
      </c>
      <c r="Y504">
        <v>11.266665000000001</v>
      </c>
      <c r="Z504">
        <v>0.17531250000000001</v>
      </c>
      <c r="AA504">
        <v>99</v>
      </c>
      <c r="AB504">
        <v>49</v>
      </c>
    </row>
    <row r="505" spans="1:28" ht="14.25" x14ac:dyDescent="0.2">
      <c r="C505" s="35" t="s">
        <v>97</v>
      </c>
      <c r="D505" s="3"/>
      <c r="E505" s="139">
        <v>1216.8</v>
      </c>
      <c r="F505" s="139">
        <v>21.91</v>
      </c>
      <c r="G505" s="140"/>
      <c r="H505" s="140"/>
      <c r="I505" s="140">
        <v>2</v>
      </c>
      <c r="J505" s="139">
        <v>2.0625</v>
      </c>
      <c r="K505" s="139">
        <v>0.17531250000000001</v>
      </c>
    </row>
    <row r="506" spans="1:28" x14ac:dyDescent="0.2">
      <c r="C506" s="36" t="s">
        <v>1239</v>
      </c>
    </row>
    <row r="507" spans="1:28" x14ac:dyDescent="0.2">
      <c r="C507" s="20" t="s">
        <v>89</v>
      </c>
      <c r="D507" s="37">
        <v>105</v>
      </c>
      <c r="E507" s="144">
        <v>1170.58095</v>
      </c>
      <c r="F507" s="37" t="s">
        <v>1130</v>
      </c>
      <c r="G507" s="143">
        <v>99</v>
      </c>
      <c r="H507" s="37" t="s">
        <v>1131</v>
      </c>
      <c r="I507" s="37"/>
      <c r="J507" s="37"/>
      <c r="K507" s="37"/>
    </row>
    <row r="508" spans="1:28" x14ac:dyDescent="0.2">
      <c r="C508" s="20" t="s">
        <v>92</v>
      </c>
      <c r="D508" s="37">
        <v>55</v>
      </c>
      <c r="E508" s="144">
        <v>579.09692500000006</v>
      </c>
      <c r="F508" s="37" t="s">
        <v>1132</v>
      </c>
      <c r="G508" s="143">
        <v>49</v>
      </c>
      <c r="H508" s="37" t="s">
        <v>1133</v>
      </c>
      <c r="I508" s="37"/>
      <c r="J508" s="37"/>
      <c r="K508" s="37"/>
    </row>
    <row r="509" spans="1:28" x14ac:dyDescent="0.2">
      <c r="C509" s="20" t="s">
        <v>95</v>
      </c>
      <c r="D509" s="37"/>
      <c r="E509" s="144">
        <v>3007.287875</v>
      </c>
      <c r="F509" s="37"/>
      <c r="G509" s="143">
        <v>254</v>
      </c>
      <c r="H509" s="37"/>
      <c r="I509" s="37"/>
      <c r="J509" s="37"/>
      <c r="K509" s="37"/>
    </row>
    <row r="510" spans="1:28" ht="14.25" x14ac:dyDescent="0.2">
      <c r="A510" s="149" t="s">
        <v>1537</v>
      </c>
      <c r="B510" s="149" t="s">
        <v>1146</v>
      </c>
      <c r="C510" s="145" t="s">
        <v>1240</v>
      </c>
      <c r="D510" s="3">
        <v>4.2500000000000003E-3</v>
      </c>
      <c r="E510" s="141">
        <v>0</v>
      </c>
      <c r="F510" s="141">
        <v>0</v>
      </c>
      <c r="G510" s="140">
        <v>0</v>
      </c>
      <c r="H510" s="140">
        <v>0</v>
      </c>
      <c r="I510" s="142">
        <v>0</v>
      </c>
      <c r="J510" s="141">
        <v>0</v>
      </c>
      <c r="K510" s="141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</row>
    <row r="511" spans="1:28" ht="14.25" x14ac:dyDescent="0.2">
      <c r="C511" s="35" t="s">
        <v>99</v>
      </c>
      <c r="D511" s="3"/>
      <c r="E511" s="139">
        <v>0</v>
      </c>
      <c r="F511" s="139">
        <v>0</v>
      </c>
      <c r="G511" s="140"/>
      <c r="H511" s="140"/>
      <c r="I511" s="140">
        <v>0</v>
      </c>
      <c r="J511" s="139">
        <v>0</v>
      </c>
      <c r="K511" s="139">
        <v>0</v>
      </c>
    </row>
    <row r="512" spans="1:28" ht="14.25" x14ac:dyDescent="0.2">
      <c r="A512" s="149" t="s">
        <v>1538</v>
      </c>
      <c r="B512" s="149" t="s">
        <v>1146</v>
      </c>
      <c r="C512" s="145" t="s">
        <v>1241</v>
      </c>
      <c r="D512" s="3">
        <v>8.5</v>
      </c>
      <c r="E512" s="141">
        <v>0</v>
      </c>
      <c r="F512" s="141">
        <v>0</v>
      </c>
      <c r="G512" s="140">
        <v>0</v>
      </c>
      <c r="H512" s="140">
        <v>0</v>
      </c>
      <c r="I512" s="142">
        <v>0</v>
      </c>
      <c r="J512" s="141">
        <v>0</v>
      </c>
      <c r="K512" s="141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</row>
    <row r="513" spans="1:28" ht="14.25" x14ac:dyDescent="0.2">
      <c r="C513" s="35" t="s">
        <v>117</v>
      </c>
      <c r="D513" s="3"/>
      <c r="E513" s="139">
        <v>0</v>
      </c>
      <c r="F513" s="139">
        <v>0</v>
      </c>
      <c r="G513" s="140"/>
      <c r="H513" s="140"/>
      <c r="I513" s="140">
        <v>0</v>
      </c>
      <c r="J513" s="139">
        <v>0</v>
      </c>
      <c r="K513" s="139">
        <v>0</v>
      </c>
    </row>
    <row r="514" spans="1:28" ht="28.5" x14ac:dyDescent="0.2">
      <c r="A514" s="149" t="s">
        <v>1539</v>
      </c>
      <c r="B514" s="149" t="s">
        <v>1146</v>
      </c>
      <c r="C514" s="145" t="s">
        <v>1242</v>
      </c>
      <c r="D514" s="3">
        <v>3.1875000000000001E-2</v>
      </c>
      <c r="E514" s="141">
        <v>0</v>
      </c>
      <c r="F514" s="141">
        <v>0</v>
      </c>
      <c r="G514" s="140">
        <v>0</v>
      </c>
      <c r="H514" s="140">
        <v>0</v>
      </c>
      <c r="I514" s="142">
        <v>0</v>
      </c>
      <c r="J514" s="141">
        <v>0</v>
      </c>
      <c r="K514" s="141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</row>
    <row r="515" spans="1:28" ht="14.25" x14ac:dyDescent="0.2">
      <c r="C515" s="35" t="s">
        <v>99</v>
      </c>
      <c r="D515" s="3"/>
      <c r="E515" s="139">
        <v>0</v>
      </c>
      <c r="F515" s="139">
        <v>0</v>
      </c>
      <c r="G515" s="140"/>
      <c r="H515" s="140"/>
      <c r="I515" s="140">
        <v>0</v>
      </c>
      <c r="J515" s="139">
        <v>0</v>
      </c>
      <c r="K515" s="139">
        <v>0</v>
      </c>
    </row>
    <row r="516" spans="1:28" ht="99.75" x14ac:dyDescent="0.2">
      <c r="A516" s="149" t="s">
        <v>230</v>
      </c>
      <c r="B516" s="149" t="s">
        <v>1540</v>
      </c>
      <c r="C516" s="145" t="s">
        <v>1243</v>
      </c>
      <c r="D516" s="3">
        <v>4.0000000000000001E-3</v>
      </c>
      <c r="E516" s="141">
        <v>7159.36</v>
      </c>
      <c r="F516" s="141">
        <v>0</v>
      </c>
      <c r="G516" s="140">
        <v>29</v>
      </c>
      <c r="H516" s="140">
        <v>0</v>
      </c>
      <c r="I516" s="142">
        <v>0</v>
      </c>
      <c r="J516" s="141">
        <v>0</v>
      </c>
      <c r="K516" s="141">
        <v>0</v>
      </c>
      <c r="T516">
        <v>29</v>
      </c>
      <c r="U516">
        <v>29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</row>
    <row r="517" spans="1:28" ht="14.25" x14ac:dyDescent="0.2">
      <c r="C517" s="35" t="s">
        <v>99</v>
      </c>
      <c r="D517" s="3"/>
      <c r="E517" s="139">
        <v>0</v>
      </c>
      <c r="F517" s="139">
        <v>0</v>
      </c>
      <c r="G517" s="140"/>
      <c r="H517" s="140"/>
      <c r="I517" s="140">
        <v>0</v>
      </c>
      <c r="J517" s="139">
        <v>0</v>
      </c>
      <c r="K517" s="139">
        <v>0</v>
      </c>
    </row>
    <row r="518" spans="1:28" ht="99.75" x14ac:dyDescent="0.2">
      <c r="A518" s="149" t="s">
        <v>231</v>
      </c>
      <c r="B518" s="149" t="s">
        <v>1541</v>
      </c>
      <c r="C518" s="145" t="s">
        <v>1244</v>
      </c>
      <c r="D518" s="3">
        <v>8.5</v>
      </c>
      <c r="E518" s="141">
        <v>65.73</v>
      </c>
      <c r="F518" s="141">
        <v>0</v>
      </c>
      <c r="G518" s="140">
        <v>559</v>
      </c>
      <c r="H518" s="140">
        <v>0</v>
      </c>
      <c r="I518" s="142">
        <v>0</v>
      </c>
      <c r="J518" s="141">
        <v>0</v>
      </c>
      <c r="K518" s="141">
        <v>0</v>
      </c>
      <c r="T518">
        <v>559</v>
      </c>
      <c r="U518">
        <v>559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</row>
    <row r="519" spans="1:28" ht="14.25" x14ac:dyDescent="0.2">
      <c r="C519" s="35" t="s">
        <v>117</v>
      </c>
      <c r="D519" s="3"/>
      <c r="E519" s="139">
        <v>0</v>
      </c>
      <c r="F519" s="139">
        <v>0</v>
      </c>
      <c r="G519" s="140"/>
      <c r="H519" s="140"/>
      <c r="I519" s="140">
        <v>0</v>
      </c>
      <c r="J519" s="139">
        <v>0</v>
      </c>
      <c r="K519" s="139">
        <v>0</v>
      </c>
    </row>
    <row r="520" spans="1:28" ht="99.75" x14ac:dyDescent="0.2">
      <c r="A520" s="149" t="s">
        <v>232</v>
      </c>
      <c r="B520" s="149" t="s">
        <v>1542</v>
      </c>
      <c r="C520" s="145" t="s">
        <v>1245</v>
      </c>
      <c r="D520" s="3">
        <v>31.875</v>
      </c>
      <c r="E520" s="141">
        <v>3.76</v>
      </c>
      <c r="F520" s="141">
        <v>0</v>
      </c>
      <c r="G520" s="140">
        <v>120</v>
      </c>
      <c r="H520" s="140">
        <v>0</v>
      </c>
      <c r="I520" s="142">
        <v>0</v>
      </c>
      <c r="J520" s="141">
        <v>0</v>
      </c>
      <c r="K520" s="141">
        <v>0</v>
      </c>
      <c r="T520">
        <v>120</v>
      </c>
      <c r="U520">
        <v>120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</row>
    <row r="521" spans="1:28" ht="14.25" x14ac:dyDescent="0.2">
      <c r="C521" s="35" t="s">
        <v>175</v>
      </c>
      <c r="D521" s="3"/>
      <c r="E521" s="139">
        <v>0</v>
      </c>
      <c r="F521" s="139">
        <v>0</v>
      </c>
      <c r="G521" s="140"/>
      <c r="H521" s="140"/>
      <c r="I521" s="140">
        <v>0</v>
      </c>
      <c r="J521" s="139">
        <v>0</v>
      </c>
      <c r="K521" s="139">
        <v>0</v>
      </c>
    </row>
    <row r="523" spans="1:28" ht="15" x14ac:dyDescent="0.25">
      <c r="A523" s="4"/>
      <c r="B523" s="4"/>
      <c r="C523" s="187" t="s">
        <v>1246</v>
      </c>
      <c r="D523" s="187"/>
      <c r="E523" s="187"/>
      <c r="F523" s="187"/>
      <c r="G523" s="136">
        <f>IF(SUM(T320:T522)=0, "-", SUM(T320:T522))</f>
        <v>114792</v>
      </c>
      <c r="H523" s="136">
        <f>IF(SUM(V320:V522)=0, "-", SUM(V320:V522))</f>
        <v>14811</v>
      </c>
      <c r="I523" s="138">
        <f>IF(SUM(W320:W522)=0, "-", SUM(W320:W522))</f>
        <v>1542</v>
      </c>
      <c r="J523" s="136"/>
      <c r="K523" s="137">
        <f>IF(SUM(Y320:Y522)=0, "-", SUM(Y320:Y522))</f>
        <v>1713.7488589999996</v>
      </c>
    </row>
    <row r="524" spans="1:28" ht="15" x14ac:dyDescent="0.25">
      <c r="A524" s="4"/>
      <c r="B524" s="4"/>
      <c r="C524" s="4"/>
      <c r="D524" s="4"/>
      <c r="E524" s="4"/>
      <c r="F524" s="4"/>
      <c r="G524" s="136"/>
      <c r="H524" s="136"/>
      <c r="I524" s="136">
        <f>IF(SUM(X320:X522)=0, "-", SUM(X320:X522))</f>
        <v>414</v>
      </c>
      <c r="J524" s="136"/>
      <c r="K524" s="135">
        <f>IF(SUM(Z320:Z522)=0, "-", SUM(Z320:Z522))</f>
        <v>33.140062500000013</v>
      </c>
    </row>
    <row r="527" spans="1:28" ht="14.25" x14ac:dyDescent="0.2">
      <c r="C527" s="183" t="s">
        <v>127</v>
      </c>
      <c r="D527" s="183"/>
      <c r="E527" s="183"/>
      <c r="F527" s="183"/>
      <c r="G527" s="183"/>
      <c r="H527" s="172">
        <v>14811</v>
      </c>
      <c r="I527" s="172"/>
    </row>
    <row r="528" spans="1:28" ht="14.25" x14ac:dyDescent="0.2">
      <c r="C528" s="183" t="s">
        <v>128</v>
      </c>
      <c r="D528" s="183"/>
      <c r="E528" s="183"/>
      <c r="F528" s="183"/>
      <c r="G528" s="183"/>
      <c r="H528" s="172">
        <v>1542</v>
      </c>
      <c r="I528" s="172"/>
    </row>
    <row r="529" spans="1:28" ht="14.25" x14ac:dyDescent="0.2">
      <c r="C529" s="183" t="s">
        <v>129</v>
      </c>
      <c r="D529" s="183"/>
      <c r="E529" s="183"/>
      <c r="F529" s="183"/>
      <c r="G529" s="183"/>
      <c r="H529" s="172">
        <v>71965</v>
      </c>
      <c r="I529" s="172"/>
    </row>
    <row r="530" spans="1:28" ht="14.25" x14ac:dyDescent="0.2">
      <c r="C530" s="183" t="s">
        <v>130</v>
      </c>
      <c r="D530" s="183"/>
      <c r="E530" s="183"/>
      <c r="F530" s="183"/>
      <c r="G530" s="183"/>
      <c r="H530" s="172">
        <v>16803</v>
      </c>
      <c r="I530" s="172"/>
    </row>
    <row r="531" spans="1:28" ht="14.25" x14ac:dyDescent="0.2">
      <c r="C531" s="183" t="s">
        <v>131</v>
      </c>
      <c r="D531" s="183"/>
      <c r="E531" s="183"/>
      <c r="F531" s="183"/>
      <c r="G531" s="183"/>
      <c r="H531" s="172">
        <v>9671</v>
      </c>
      <c r="I531" s="172"/>
    </row>
    <row r="532" spans="1:28" ht="14.25" x14ac:dyDescent="0.2">
      <c r="C532" s="183" t="s">
        <v>134</v>
      </c>
      <c r="D532" s="183"/>
      <c r="E532" s="183"/>
      <c r="F532" s="183"/>
      <c r="G532" s="183"/>
      <c r="H532" s="172">
        <v>114792</v>
      </c>
      <c r="I532" s="172"/>
    </row>
    <row r="534" spans="1:28" ht="16.5" x14ac:dyDescent="0.25">
      <c r="A534" s="186" t="s">
        <v>1247</v>
      </c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</row>
    <row r="535" spans="1:28" ht="119.25" x14ac:dyDescent="0.2">
      <c r="A535" s="149" t="s">
        <v>233</v>
      </c>
      <c r="B535" s="149" t="s">
        <v>1508</v>
      </c>
      <c r="C535" s="145" t="s">
        <v>1364</v>
      </c>
      <c r="D535" s="3">
        <v>3.343</v>
      </c>
      <c r="E535" s="141">
        <v>7184.83</v>
      </c>
      <c r="F535" s="141">
        <v>2118.7399999999998</v>
      </c>
      <c r="G535" s="140">
        <v>24019</v>
      </c>
      <c r="H535" s="140">
        <v>9502</v>
      </c>
      <c r="I535" s="142">
        <v>7083</v>
      </c>
      <c r="J535" s="141">
        <v>313.375</v>
      </c>
      <c r="K535" s="141">
        <v>1047.612625</v>
      </c>
      <c r="T535">
        <v>39842</v>
      </c>
      <c r="U535">
        <v>7434</v>
      </c>
      <c r="V535">
        <v>9502</v>
      </c>
      <c r="W535">
        <v>7083</v>
      </c>
      <c r="X535">
        <v>823</v>
      </c>
      <c r="Y535">
        <v>1047.612625</v>
      </c>
      <c r="Z535">
        <v>62.514100000000006</v>
      </c>
      <c r="AA535">
        <v>8363</v>
      </c>
      <c r="AB535">
        <v>7460</v>
      </c>
    </row>
    <row r="536" spans="1:28" ht="14.25" x14ac:dyDescent="0.2">
      <c r="C536" s="35" t="s">
        <v>97</v>
      </c>
      <c r="D536" s="3"/>
      <c r="E536" s="139">
        <v>2842.32</v>
      </c>
      <c r="F536" s="139">
        <v>246.18</v>
      </c>
      <c r="G536" s="140"/>
      <c r="H536" s="140"/>
      <c r="I536" s="140">
        <v>823</v>
      </c>
      <c r="J536" s="139">
        <v>18.700000000000003</v>
      </c>
      <c r="K536" s="139">
        <v>62.514100000000006</v>
      </c>
    </row>
    <row r="537" spans="1:28" x14ac:dyDescent="0.2">
      <c r="C537" s="36" t="s">
        <v>1248</v>
      </c>
    </row>
    <row r="538" spans="1:28" x14ac:dyDescent="0.2">
      <c r="C538" s="20" t="s">
        <v>89</v>
      </c>
      <c r="D538" s="37">
        <v>90</v>
      </c>
      <c r="E538" s="144">
        <v>2501.6849999999999</v>
      </c>
      <c r="F538" s="37" t="s">
        <v>101</v>
      </c>
      <c r="G538" s="143">
        <v>8363</v>
      </c>
      <c r="H538" s="37" t="s">
        <v>102</v>
      </c>
      <c r="I538" s="37"/>
      <c r="J538" s="37"/>
      <c r="K538" s="37"/>
    </row>
    <row r="539" spans="1:28" x14ac:dyDescent="0.2">
      <c r="C539" s="20" t="s">
        <v>92</v>
      </c>
      <c r="D539" s="37">
        <v>85</v>
      </c>
      <c r="E539" s="144">
        <v>2231.4412499999999</v>
      </c>
      <c r="F539" s="37" t="s">
        <v>103</v>
      </c>
      <c r="G539" s="143">
        <v>7460</v>
      </c>
      <c r="H539" s="37" t="s">
        <v>104</v>
      </c>
      <c r="I539" s="37"/>
      <c r="J539" s="37"/>
      <c r="K539" s="37"/>
    </row>
    <row r="540" spans="1:28" x14ac:dyDescent="0.2">
      <c r="C540" s="20" t="s">
        <v>95</v>
      </c>
      <c r="D540" s="37"/>
      <c r="E540" s="144">
        <v>11917.956249999999</v>
      </c>
      <c r="F540" s="37"/>
      <c r="G540" s="143">
        <v>39842</v>
      </c>
      <c r="H540" s="37"/>
      <c r="I540" s="37"/>
      <c r="J540" s="37"/>
      <c r="K540" s="37"/>
    </row>
    <row r="541" spans="1:28" ht="99.75" x14ac:dyDescent="0.2">
      <c r="A541" s="149" t="s">
        <v>234</v>
      </c>
      <c r="B541" s="149" t="s">
        <v>1509</v>
      </c>
      <c r="C541" s="145" t="s">
        <v>1249</v>
      </c>
      <c r="D541" s="3">
        <v>1.6719999999999999</v>
      </c>
      <c r="E541" s="141">
        <v>6747</v>
      </c>
      <c r="F541" s="141">
        <v>0</v>
      </c>
      <c r="G541" s="140">
        <v>11281</v>
      </c>
      <c r="H541" s="140">
        <v>0</v>
      </c>
      <c r="I541" s="142">
        <v>0</v>
      </c>
      <c r="J541" s="141">
        <v>0</v>
      </c>
      <c r="K541" s="141">
        <v>0</v>
      </c>
      <c r="T541">
        <v>11281</v>
      </c>
      <c r="U541">
        <v>11281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</row>
    <row r="542" spans="1:28" ht="14.25" x14ac:dyDescent="0.2">
      <c r="C542" s="35" t="s">
        <v>99</v>
      </c>
      <c r="D542" s="3"/>
      <c r="E542" s="139">
        <v>0</v>
      </c>
      <c r="F542" s="139">
        <v>0</v>
      </c>
      <c r="G542" s="140"/>
      <c r="H542" s="140"/>
      <c r="I542" s="140">
        <v>0</v>
      </c>
      <c r="J542" s="139">
        <v>0</v>
      </c>
      <c r="K542" s="139">
        <v>0</v>
      </c>
    </row>
    <row r="543" spans="1:28" x14ac:dyDescent="0.2">
      <c r="C543" s="36" t="s">
        <v>1250</v>
      </c>
    </row>
    <row r="544" spans="1:28" ht="99.75" x14ac:dyDescent="0.2">
      <c r="A544" s="149" t="s">
        <v>235</v>
      </c>
      <c r="B544" s="149" t="s">
        <v>1501</v>
      </c>
      <c r="C544" s="145" t="s">
        <v>1251</v>
      </c>
      <c r="D544" s="3">
        <v>367.73</v>
      </c>
      <c r="E544" s="141">
        <v>72.45</v>
      </c>
      <c r="F544" s="141">
        <v>0</v>
      </c>
      <c r="G544" s="140">
        <v>26642</v>
      </c>
      <c r="H544" s="140">
        <v>0</v>
      </c>
      <c r="I544" s="142">
        <v>0</v>
      </c>
      <c r="J544" s="141">
        <v>0</v>
      </c>
      <c r="K544" s="141">
        <v>0</v>
      </c>
      <c r="T544">
        <v>26642</v>
      </c>
      <c r="U544">
        <v>26642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</row>
    <row r="545" spans="1:28" ht="14.25" x14ac:dyDescent="0.2">
      <c r="C545" s="35" t="s">
        <v>117</v>
      </c>
      <c r="D545" s="3"/>
      <c r="E545" s="139">
        <v>0</v>
      </c>
      <c r="F545" s="139">
        <v>0</v>
      </c>
      <c r="G545" s="140"/>
      <c r="H545" s="140"/>
      <c r="I545" s="140">
        <v>0</v>
      </c>
      <c r="J545" s="139">
        <v>0</v>
      </c>
      <c r="K545" s="139">
        <v>0</v>
      </c>
    </row>
    <row r="546" spans="1:28" x14ac:dyDescent="0.2">
      <c r="C546" s="36" t="s">
        <v>1252</v>
      </c>
    </row>
    <row r="547" spans="1:28" ht="105" x14ac:dyDescent="0.2">
      <c r="A547" s="149" t="s">
        <v>236</v>
      </c>
      <c r="B547" s="149" t="s">
        <v>1510</v>
      </c>
      <c r="C547" s="145" t="s">
        <v>1116</v>
      </c>
      <c r="D547" s="3">
        <v>1.0289999999999999</v>
      </c>
      <c r="E547" s="141">
        <v>6848.88</v>
      </c>
      <c r="F547" s="141">
        <v>405.89</v>
      </c>
      <c r="G547" s="140">
        <v>7048</v>
      </c>
      <c r="H547" s="140">
        <v>1140</v>
      </c>
      <c r="I547" s="142">
        <v>418</v>
      </c>
      <c r="J547" s="141">
        <v>117.82899999999998</v>
      </c>
      <c r="K547" s="141">
        <v>121.24604099999996</v>
      </c>
      <c r="T547">
        <v>8774</v>
      </c>
      <c r="U547">
        <v>5490</v>
      </c>
      <c r="V547">
        <v>1140</v>
      </c>
      <c r="W547">
        <v>418</v>
      </c>
      <c r="X547">
        <v>82</v>
      </c>
      <c r="Y547">
        <v>121.24604099999996</v>
      </c>
      <c r="Z547">
        <v>6.868574999999999</v>
      </c>
      <c r="AA547">
        <v>1155</v>
      </c>
      <c r="AB547">
        <v>571</v>
      </c>
    </row>
    <row r="548" spans="1:28" ht="14.25" x14ac:dyDescent="0.2">
      <c r="C548" s="35" t="s">
        <v>97</v>
      </c>
      <c r="D548" s="3"/>
      <c r="E548" s="139">
        <v>1107.5899999999999</v>
      </c>
      <c r="F548" s="139">
        <v>79.239999999999995</v>
      </c>
      <c r="G548" s="140"/>
      <c r="H548" s="140"/>
      <c r="I548" s="140">
        <v>82</v>
      </c>
      <c r="J548" s="139">
        <v>6.6749999999999998</v>
      </c>
      <c r="K548" s="139">
        <v>6.868574999999999</v>
      </c>
    </row>
    <row r="549" spans="1:28" x14ac:dyDescent="0.2">
      <c r="C549" s="36" t="s">
        <v>1253</v>
      </c>
    </row>
    <row r="550" spans="1:28" x14ac:dyDescent="0.2">
      <c r="C550" s="20" t="s">
        <v>89</v>
      </c>
      <c r="D550" s="37">
        <v>105</v>
      </c>
      <c r="E550" s="144">
        <v>1121.5543499999999</v>
      </c>
      <c r="F550" s="37" t="s">
        <v>1130</v>
      </c>
      <c r="G550" s="143">
        <v>1155</v>
      </c>
      <c r="H550" s="37" t="s">
        <v>1131</v>
      </c>
      <c r="I550" s="37"/>
      <c r="J550" s="37"/>
      <c r="K550" s="37"/>
    </row>
    <row r="551" spans="1:28" x14ac:dyDescent="0.2">
      <c r="C551" s="20" t="s">
        <v>92</v>
      </c>
      <c r="D551" s="37">
        <v>55</v>
      </c>
      <c r="E551" s="144">
        <v>554.84302500000001</v>
      </c>
      <c r="F551" s="37" t="s">
        <v>1132</v>
      </c>
      <c r="G551" s="143">
        <v>571</v>
      </c>
      <c r="H551" s="37" t="s">
        <v>1133</v>
      </c>
      <c r="I551" s="37"/>
      <c r="J551" s="37"/>
      <c r="K551" s="37"/>
    </row>
    <row r="552" spans="1:28" x14ac:dyDescent="0.2">
      <c r="C552" s="20" t="s">
        <v>95</v>
      </c>
      <c r="D552" s="37"/>
      <c r="E552" s="144">
        <v>8525.2773749999997</v>
      </c>
      <c r="F552" s="37"/>
      <c r="G552" s="143">
        <v>8774</v>
      </c>
      <c r="H552" s="37"/>
      <c r="I552" s="37"/>
      <c r="J552" s="37"/>
      <c r="K552" s="37"/>
    </row>
    <row r="554" spans="1:28" ht="15" x14ac:dyDescent="0.25">
      <c r="A554" s="4"/>
      <c r="B554" s="4"/>
      <c r="C554" s="187" t="s">
        <v>1254</v>
      </c>
      <c r="D554" s="187"/>
      <c r="E554" s="187"/>
      <c r="F554" s="187"/>
      <c r="G554" s="136">
        <f>IF(SUM(T534:T553)=0, "-", SUM(T534:T553))</f>
        <v>86539</v>
      </c>
      <c r="H554" s="136">
        <f>IF(SUM(V534:V553)=0, "-", SUM(V534:V553))</f>
        <v>10642</v>
      </c>
      <c r="I554" s="138">
        <f>IF(SUM(W534:W553)=0, "-", SUM(W534:W553))</f>
        <v>7501</v>
      </c>
      <c r="J554" s="136"/>
      <c r="K554" s="137">
        <f>IF(SUM(Y534:Y553)=0, "-", SUM(Y534:Y553))</f>
        <v>1168.8586659999999</v>
      </c>
    </row>
    <row r="555" spans="1:28" ht="15" x14ac:dyDescent="0.25">
      <c r="A555" s="4"/>
      <c r="B555" s="4"/>
      <c r="C555" s="4"/>
      <c r="D555" s="4"/>
      <c r="E555" s="4"/>
      <c r="F555" s="4"/>
      <c r="G555" s="136"/>
      <c r="H555" s="136"/>
      <c r="I555" s="136">
        <f>IF(SUM(X534:X553)=0, "-", SUM(X534:X553))</f>
        <v>905</v>
      </c>
      <c r="J555" s="136"/>
      <c r="K555" s="135">
        <f>IF(SUM(Z534:Z553)=0, "-", SUM(Z534:Z553))</f>
        <v>69.382675000000006</v>
      </c>
    </row>
    <row r="558" spans="1:28" ht="14.25" x14ac:dyDescent="0.2">
      <c r="C558" s="183" t="s">
        <v>127</v>
      </c>
      <c r="D558" s="183"/>
      <c r="E558" s="183"/>
      <c r="F558" s="183"/>
      <c r="G558" s="183"/>
      <c r="H558" s="172">
        <v>10642</v>
      </c>
      <c r="I558" s="172"/>
    </row>
    <row r="559" spans="1:28" ht="14.25" x14ac:dyDescent="0.2">
      <c r="C559" s="183" t="s">
        <v>128</v>
      </c>
      <c r="D559" s="183"/>
      <c r="E559" s="183"/>
      <c r="F559" s="183"/>
      <c r="G559" s="183"/>
      <c r="H559" s="172">
        <v>7501</v>
      </c>
      <c r="I559" s="172"/>
    </row>
    <row r="560" spans="1:28" ht="14.25" x14ac:dyDescent="0.2">
      <c r="C560" s="183" t="s">
        <v>129</v>
      </c>
      <c r="D560" s="183"/>
      <c r="E560" s="183"/>
      <c r="F560" s="183"/>
      <c r="G560" s="183"/>
      <c r="H560" s="172">
        <v>50847</v>
      </c>
      <c r="I560" s="172"/>
    </row>
    <row r="561" spans="1:28" ht="14.25" x14ac:dyDescent="0.2">
      <c r="C561" s="183" t="s">
        <v>130</v>
      </c>
      <c r="D561" s="183"/>
      <c r="E561" s="183"/>
      <c r="F561" s="183"/>
      <c r="G561" s="183"/>
      <c r="H561" s="172">
        <v>9518</v>
      </c>
      <c r="I561" s="172"/>
    </row>
    <row r="562" spans="1:28" ht="14.25" x14ac:dyDescent="0.2">
      <c r="C562" s="183" t="s">
        <v>131</v>
      </c>
      <c r="D562" s="183"/>
      <c r="E562" s="183"/>
      <c r="F562" s="183"/>
      <c r="G562" s="183"/>
      <c r="H562" s="172">
        <v>8031</v>
      </c>
      <c r="I562" s="172"/>
    </row>
    <row r="563" spans="1:28" ht="14.25" x14ac:dyDescent="0.2">
      <c r="C563" s="183" t="s">
        <v>134</v>
      </c>
      <c r="D563" s="183"/>
      <c r="E563" s="183"/>
      <c r="F563" s="183"/>
      <c r="G563" s="183"/>
      <c r="H563" s="172">
        <v>86539</v>
      </c>
      <c r="I563" s="172"/>
    </row>
    <row r="565" spans="1:28" ht="16.5" x14ac:dyDescent="0.25">
      <c r="A565" s="186" t="s">
        <v>1255</v>
      </c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</row>
    <row r="566" spans="1:28" ht="147.75" x14ac:dyDescent="0.2">
      <c r="A566" s="149" t="s">
        <v>237</v>
      </c>
      <c r="B566" s="149" t="s">
        <v>1497</v>
      </c>
      <c r="C566" s="145" t="s">
        <v>1363</v>
      </c>
      <c r="D566" s="3">
        <v>4.234</v>
      </c>
      <c r="E566" s="141">
        <v>12077.12</v>
      </c>
      <c r="F566" s="141">
        <v>69.34</v>
      </c>
      <c r="G566" s="140">
        <v>51135</v>
      </c>
      <c r="H566" s="140">
        <v>5292</v>
      </c>
      <c r="I566" s="142">
        <v>294</v>
      </c>
      <c r="J566" s="141">
        <v>136.16</v>
      </c>
      <c r="K566" s="141">
        <v>576.50144</v>
      </c>
      <c r="T566">
        <v>58670</v>
      </c>
      <c r="U566">
        <v>45549</v>
      </c>
      <c r="V566">
        <v>5292</v>
      </c>
      <c r="W566">
        <v>294</v>
      </c>
      <c r="X566">
        <v>42</v>
      </c>
      <c r="Y566">
        <v>576.50144</v>
      </c>
      <c r="Z566">
        <v>3.3872</v>
      </c>
      <c r="AA566">
        <v>5041</v>
      </c>
      <c r="AB566">
        <v>2494</v>
      </c>
    </row>
    <row r="567" spans="1:28" ht="14.25" x14ac:dyDescent="0.2">
      <c r="C567" s="35" t="s">
        <v>97</v>
      </c>
      <c r="D567" s="3"/>
      <c r="E567" s="139">
        <v>1249.95</v>
      </c>
      <c r="F567" s="139">
        <v>9.93</v>
      </c>
      <c r="G567" s="140"/>
      <c r="H567" s="140"/>
      <c r="I567" s="140">
        <v>42</v>
      </c>
      <c r="J567" s="139">
        <v>0.8</v>
      </c>
      <c r="K567" s="139">
        <v>3.3872</v>
      </c>
    </row>
    <row r="568" spans="1:28" x14ac:dyDescent="0.2">
      <c r="C568" s="36" t="s">
        <v>1498</v>
      </c>
    </row>
    <row r="569" spans="1:28" x14ac:dyDescent="0.2">
      <c r="C569" s="20" t="s">
        <v>89</v>
      </c>
      <c r="D569" s="37">
        <v>105</v>
      </c>
      <c r="E569" s="144">
        <v>1190.5866000000001</v>
      </c>
      <c r="F569" s="37" t="s">
        <v>1130</v>
      </c>
      <c r="G569" s="143">
        <v>5041</v>
      </c>
      <c r="H569" s="37" t="s">
        <v>1131</v>
      </c>
      <c r="I569" s="37"/>
      <c r="J569" s="37"/>
      <c r="K569" s="37"/>
    </row>
    <row r="570" spans="1:28" x14ac:dyDescent="0.2">
      <c r="C570" s="20" t="s">
        <v>92</v>
      </c>
      <c r="D570" s="37">
        <v>55</v>
      </c>
      <c r="E570" s="144">
        <v>588.99390000000005</v>
      </c>
      <c r="F570" s="37" t="s">
        <v>1132</v>
      </c>
      <c r="G570" s="143">
        <v>2494</v>
      </c>
      <c r="H570" s="37" t="s">
        <v>1133</v>
      </c>
      <c r="I570" s="37"/>
      <c r="J570" s="37"/>
      <c r="K570" s="37"/>
    </row>
    <row r="571" spans="1:28" x14ac:dyDescent="0.2">
      <c r="C571" s="20" t="s">
        <v>95</v>
      </c>
      <c r="D571" s="37"/>
      <c r="E571" s="144">
        <v>13856.700500000001</v>
      </c>
      <c r="F571" s="37"/>
      <c r="G571" s="143">
        <v>58670</v>
      </c>
      <c r="H571" s="37"/>
      <c r="I571" s="37"/>
      <c r="J571" s="37"/>
      <c r="K571" s="37"/>
    </row>
    <row r="572" spans="1:28" ht="28.5" x14ac:dyDescent="0.2">
      <c r="A572" s="149" t="s">
        <v>1499</v>
      </c>
      <c r="B572" s="149" t="s">
        <v>1146</v>
      </c>
      <c r="C572" s="145" t="s">
        <v>1500</v>
      </c>
      <c r="D572" s="3">
        <v>499.61200000000002</v>
      </c>
      <c r="E572" s="141">
        <v>0</v>
      </c>
      <c r="F572" s="141">
        <v>0</v>
      </c>
      <c r="G572" s="140">
        <v>0</v>
      </c>
      <c r="H572" s="140">
        <v>0</v>
      </c>
      <c r="I572" s="142">
        <v>0</v>
      </c>
      <c r="J572" s="141">
        <v>0</v>
      </c>
      <c r="K572" s="141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</row>
    <row r="573" spans="1:28" ht="14.25" x14ac:dyDescent="0.2">
      <c r="C573" s="35" t="s">
        <v>117</v>
      </c>
      <c r="D573" s="3"/>
      <c r="E573" s="139">
        <v>0</v>
      </c>
      <c r="F573" s="139">
        <v>0</v>
      </c>
      <c r="G573" s="140"/>
      <c r="H573" s="140"/>
      <c r="I573" s="140">
        <v>0</v>
      </c>
      <c r="J573" s="139">
        <v>0</v>
      </c>
      <c r="K573" s="139">
        <v>0</v>
      </c>
    </row>
    <row r="574" spans="1:28" ht="99.75" x14ac:dyDescent="0.2">
      <c r="A574" s="149" t="s">
        <v>91</v>
      </c>
      <c r="B574" s="149" t="s">
        <v>1501</v>
      </c>
      <c r="C574" s="145" t="s">
        <v>1251</v>
      </c>
      <c r="D574" s="3">
        <v>499.61200000000002</v>
      </c>
      <c r="E574" s="141">
        <v>72.45</v>
      </c>
      <c r="F574" s="141">
        <v>0</v>
      </c>
      <c r="G574" s="140">
        <v>36197</v>
      </c>
      <c r="H574" s="140">
        <v>0</v>
      </c>
      <c r="I574" s="142">
        <v>0</v>
      </c>
      <c r="J574" s="141">
        <v>0</v>
      </c>
      <c r="K574" s="141">
        <v>0</v>
      </c>
      <c r="T574">
        <v>36197</v>
      </c>
      <c r="U574">
        <v>36197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</row>
    <row r="575" spans="1:28" ht="14.25" x14ac:dyDescent="0.2">
      <c r="C575" s="35" t="s">
        <v>117</v>
      </c>
      <c r="D575" s="3"/>
      <c r="E575" s="139">
        <v>0</v>
      </c>
      <c r="F575" s="139">
        <v>0</v>
      </c>
      <c r="G575" s="140"/>
      <c r="H575" s="140"/>
      <c r="I575" s="140">
        <v>0</v>
      </c>
      <c r="J575" s="139">
        <v>0</v>
      </c>
      <c r="K575" s="139">
        <v>0</v>
      </c>
    </row>
    <row r="576" spans="1:28" ht="85.5" x14ac:dyDescent="0.2">
      <c r="A576" s="149" t="s">
        <v>238</v>
      </c>
      <c r="B576" s="149" t="s">
        <v>1502</v>
      </c>
      <c r="C576" s="145" t="s">
        <v>1503</v>
      </c>
      <c r="D576" s="3">
        <v>0.50600000000000001</v>
      </c>
      <c r="E576" s="141">
        <v>3168.87</v>
      </c>
      <c r="F576" s="141">
        <v>20.94</v>
      </c>
      <c r="G576" s="140">
        <v>1604</v>
      </c>
      <c r="H576" s="140">
        <v>1016</v>
      </c>
      <c r="I576" s="142">
        <v>11</v>
      </c>
      <c r="J576" s="141">
        <v>226.6</v>
      </c>
      <c r="K576" s="141">
        <v>114.6596</v>
      </c>
      <c r="T576">
        <v>2922</v>
      </c>
      <c r="U576">
        <v>577</v>
      </c>
      <c r="V576">
        <v>1016</v>
      </c>
      <c r="W576">
        <v>11</v>
      </c>
      <c r="X576">
        <v>5</v>
      </c>
      <c r="Y576">
        <v>114.6596</v>
      </c>
      <c r="Z576">
        <v>0.33902000000000004</v>
      </c>
      <c r="AA576">
        <v>807</v>
      </c>
      <c r="AB576">
        <v>511</v>
      </c>
    </row>
    <row r="577" spans="1:28" ht="14.25" x14ac:dyDescent="0.2">
      <c r="C577" s="35" t="s">
        <v>97</v>
      </c>
      <c r="D577" s="3"/>
      <c r="E577" s="139">
        <v>2007.68</v>
      </c>
      <c r="F577" s="139">
        <v>9.0500000000000007</v>
      </c>
      <c r="G577" s="140"/>
      <c r="H577" s="140"/>
      <c r="I577" s="140">
        <v>5</v>
      </c>
      <c r="J577" s="139">
        <v>0.67</v>
      </c>
      <c r="K577" s="139">
        <v>0.33902000000000004</v>
      </c>
    </row>
    <row r="578" spans="1:28" x14ac:dyDescent="0.2">
      <c r="C578" s="36" t="s">
        <v>1256</v>
      </c>
    </row>
    <row r="579" spans="1:28" x14ac:dyDescent="0.2">
      <c r="C579" s="20" t="s">
        <v>89</v>
      </c>
      <c r="D579" s="37">
        <v>79</v>
      </c>
      <c r="E579" s="144">
        <v>1593.2167000000002</v>
      </c>
      <c r="F579" s="37"/>
      <c r="G579" s="143">
        <v>807</v>
      </c>
      <c r="H579" s="37" t="s">
        <v>221</v>
      </c>
      <c r="I579" s="37"/>
      <c r="J579" s="37"/>
      <c r="K579" s="37"/>
    </row>
    <row r="580" spans="1:28" x14ac:dyDescent="0.2">
      <c r="C580" s="20" t="s">
        <v>92</v>
      </c>
      <c r="D580" s="37">
        <v>50</v>
      </c>
      <c r="E580" s="144">
        <v>1008.365</v>
      </c>
      <c r="F580" s="37"/>
      <c r="G580" s="143">
        <v>511</v>
      </c>
      <c r="H580" s="37" t="s">
        <v>185</v>
      </c>
      <c r="I580" s="37"/>
      <c r="J580" s="37"/>
      <c r="K580" s="37"/>
    </row>
    <row r="581" spans="1:28" x14ac:dyDescent="0.2">
      <c r="C581" s="20" t="s">
        <v>95</v>
      </c>
      <c r="D581" s="37"/>
      <c r="E581" s="144">
        <v>5770.4516999999996</v>
      </c>
      <c r="F581" s="37"/>
      <c r="G581" s="143">
        <v>2922</v>
      </c>
      <c r="H581" s="37"/>
      <c r="I581" s="37"/>
      <c r="J581" s="37"/>
      <c r="K581" s="37"/>
    </row>
    <row r="582" spans="1:28" ht="14.25" x14ac:dyDescent="0.2">
      <c r="A582" s="149" t="s">
        <v>1504</v>
      </c>
      <c r="B582" s="149" t="s">
        <v>1146</v>
      </c>
      <c r="C582" s="145" t="s">
        <v>98</v>
      </c>
      <c r="D582" s="3">
        <v>1.71028</v>
      </c>
      <c r="E582" s="141">
        <v>0</v>
      </c>
      <c r="F582" s="141">
        <v>0</v>
      </c>
      <c r="G582" s="140">
        <v>0</v>
      </c>
      <c r="H582" s="140">
        <v>0</v>
      </c>
      <c r="I582" s="142">
        <v>0</v>
      </c>
      <c r="J582" s="141">
        <v>0</v>
      </c>
      <c r="K582" s="141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</row>
    <row r="583" spans="1:28" ht="14.25" x14ac:dyDescent="0.2">
      <c r="C583" s="35" t="s">
        <v>99</v>
      </c>
      <c r="D583" s="3"/>
      <c r="E583" s="139">
        <v>0</v>
      </c>
      <c r="F583" s="139">
        <v>0</v>
      </c>
      <c r="G583" s="140"/>
      <c r="H583" s="140"/>
      <c r="I583" s="140">
        <v>0</v>
      </c>
      <c r="J583" s="139">
        <v>0</v>
      </c>
      <c r="K583" s="139">
        <v>0</v>
      </c>
    </row>
    <row r="584" spans="1:28" ht="85.5" x14ac:dyDescent="0.2">
      <c r="A584" s="149" t="s">
        <v>239</v>
      </c>
      <c r="B584" s="149" t="s">
        <v>1505</v>
      </c>
      <c r="C584" s="145" t="s">
        <v>1506</v>
      </c>
      <c r="D584" s="3">
        <v>1.6859999999999999</v>
      </c>
      <c r="E584" s="141">
        <v>407.38</v>
      </c>
      <c r="F584" s="141">
        <v>7.07</v>
      </c>
      <c r="G584" s="140">
        <v>687</v>
      </c>
      <c r="H584" s="140">
        <v>405</v>
      </c>
      <c r="I584" s="142">
        <v>12</v>
      </c>
      <c r="J584" s="141">
        <v>27.8</v>
      </c>
      <c r="K584" s="141">
        <v>46.870800000000003</v>
      </c>
      <c r="T584">
        <v>1217</v>
      </c>
      <c r="U584">
        <v>270</v>
      </c>
      <c r="V584">
        <v>405</v>
      </c>
      <c r="W584">
        <v>12</v>
      </c>
      <c r="X584">
        <v>3</v>
      </c>
      <c r="Y584">
        <v>46.870800000000003</v>
      </c>
      <c r="Z584">
        <v>0.26976</v>
      </c>
      <c r="AA584">
        <v>326</v>
      </c>
      <c r="AB584">
        <v>204</v>
      </c>
    </row>
    <row r="585" spans="1:28" ht="14.25" x14ac:dyDescent="0.2">
      <c r="C585" s="35" t="s">
        <v>97</v>
      </c>
      <c r="D585" s="3"/>
      <c r="E585" s="139">
        <v>240.19</v>
      </c>
      <c r="F585" s="139">
        <v>2.0499999999999998</v>
      </c>
      <c r="G585" s="140"/>
      <c r="H585" s="140"/>
      <c r="I585" s="140">
        <v>3</v>
      </c>
      <c r="J585" s="139">
        <v>0.16</v>
      </c>
      <c r="K585" s="139">
        <v>0.26976</v>
      </c>
    </row>
    <row r="586" spans="1:28" x14ac:dyDescent="0.2">
      <c r="C586" s="36" t="s">
        <v>1257</v>
      </c>
    </row>
    <row r="587" spans="1:28" x14ac:dyDescent="0.2">
      <c r="C587" s="20" t="s">
        <v>89</v>
      </c>
      <c r="D587" s="37">
        <v>80</v>
      </c>
      <c r="E587" s="144">
        <v>193.792</v>
      </c>
      <c r="F587" s="37"/>
      <c r="G587" s="143">
        <v>326</v>
      </c>
      <c r="H587" s="37" t="s">
        <v>222</v>
      </c>
      <c r="I587" s="37"/>
      <c r="J587" s="37"/>
      <c r="K587" s="37"/>
    </row>
    <row r="588" spans="1:28" x14ac:dyDescent="0.2">
      <c r="C588" s="20" t="s">
        <v>92</v>
      </c>
      <c r="D588" s="37">
        <v>50</v>
      </c>
      <c r="E588" s="144">
        <v>121.12</v>
      </c>
      <c r="F588" s="37"/>
      <c r="G588" s="143">
        <v>204</v>
      </c>
      <c r="H588" s="37" t="s">
        <v>185</v>
      </c>
      <c r="I588" s="37"/>
      <c r="J588" s="37"/>
      <c r="K588" s="37"/>
    </row>
    <row r="589" spans="1:28" x14ac:dyDescent="0.2">
      <c r="C589" s="20" t="s">
        <v>95</v>
      </c>
      <c r="D589" s="37"/>
      <c r="E589" s="144">
        <v>722.29200000000003</v>
      </c>
      <c r="F589" s="37"/>
      <c r="G589" s="143">
        <v>1217</v>
      </c>
      <c r="H589" s="37"/>
      <c r="I589" s="37"/>
      <c r="J589" s="37"/>
      <c r="K589" s="37"/>
    </row>
    <row r="590" spans="1:28" ht="14.25" x14ac:dyDescent="0.2">
      <c r="A590" s="149" t="s">
        <v>240</v>
      </c>
      <c r="B590" s="149" t="s">
        <v>1146</v>
      </c>
      <c r="C590" s="145" t="s">
        <v>1258</v>
      </c>
      <c r="D590" s="3">
        <v>0.11970599999999998</v>
      </c>
      <c r="E590" s="141">
        <v>0</v>
      </c>
      <c r="F590" s="141">
        <v>0</v>
      </c>
      <c r="G590" s="140">
        <v>0</v>
      </c>
      <c r="H590" s="140">
        <v>0</v>
      </c>
      <c r="I590" s="142">
        <v>0</v>
      </c>
      <c r="J590" s="141">
        <v>0</v>
      </c>
      <c r="K590" s="141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</row>
    <row r="591" spans="1:28" ht="14.25" x14ac:dyDescent="0.2">
      <c r="C591" s="35" t="s">
        <v>99</v>
      </c>
      <c r="D591" s="3"/>
      <c r="E591" s="139">
        <v>0</v>
      </c>
      <c r="F591" s="139">
        <v>0</v>
      </c>
      <c r="G591" s="140"/>
      <c r="H591" s="140"/>
      <c r="I591" s="140">
        <v>0</v>
      </c>
      <c r="J591" s="139">
        <v>0</v>
      </c>
      <c r="K591" s="139">
        <v>0</v>
      </c>
    </row>
    <row r="592" spans="1:28" ht="99.75" x14ac:dyDescent="0.2">
      <c r="A592" s="149" t="s">
        <v>241</v>
      </c>
      <c r="B592" s="149" t="s">
        <v>1507</v>
      </c>
      <c r="C592" s="145" t="s">
        <v>1259</v>
      </c>
      <c r="D592" s="3">
        <v>0.12</v>
      </c>
      <c r="E592" s="141">
        <v>22484.66</v>
      </c>
      <c r="F592" s="141">
        <v>0</v>
      </c>
      <c r="G592" s="140">
        <v>2698</v>
      </c>
      <c r="H592" s="140">
        <v>0</v>
      </c>
      <c r="I592" s="142">
        <v>0</v>
      </c>
      <c r="J592" s="141">
        <v>0</v>
      </c>
      <c r="K592" s="141">
        <v>0</v>
      </c>
      <c r="T592">
        <v>2698</v>
      </c>
      <c r="U592">
        <v>2698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</row>
    <row r="593" spans="1:28" ht="14.25" x14ac:dyDescent="0.2">
      <c r="C593" s="35" t="s">
        <v>99</v>
      </c>
      <c r="D593" s="3"/>
      <c r="E593" s="139">
        <v>0</v>
      </c>
      <c r="F593" s="139">
        <v>0</v>
      </c>
      <c r="G593" s="140"/>
      <c r="H593" s="140"/>
      <c r="I593" s="140">
        <v>0</v>
      </c>
      <c r="J593" s="139">
        <v>0</v>
      </c>
      <c r="K593" s="139">
        <v>0</v>
      </c>
    </row>
    <row r="595" spans="1:28" ht="15" x14ac:dyDescent="0.25">
      <c r="A595" s="4"/>
      <c r="B595" s="4"/>
      <c r="C595" s="187" t="s">
        <v>1260</v>
      </c>
      <c r="D595" s="187"/>
      <c r="E595" s="187"/>
      <c r="F595" s="187"/>
      <c r="G595" s="136">
        <f>IF(SUM(T565:T594)=0, "-", SUM(T565:T594))</f>
        <v>101704</v>
      </c>
      <c r="H595" s="136">
        <f>IF(SUM(V565:V594)=0, "-", SUM(V565:V594))</f>
        <v>6713</v>
      </c>
      <c r="I595" s="138">
        <f>IF(SUM(W565:W594)=0, "-", SUM(W565:W594))</f>
        <v>317</v>
      </c>
      <c r="J595" s="136"/>
      <c r="K595" s="137">
        <f>IF(SUM(Y565:Y594)=0, "-", SUM(Y565:Y594))</f>
        <v>738.03183999999999</v>
      </c>
    </row>
    <row r="596" spans="1:28" ht="15" x14ac:dyDescent="0.25">
      <c r="A596" s="4"/>
      <c r="B596" s="4"/>
      <c r="C596" s="4"/>
      <c r="D596" s="4"/>
      <c r="E596" s="4"/>
      <c r="F596" s="4"/>
      <c r="G596" s="136"/>
      <c r="H596" s="136"/>
      <c r="I596" s="136">
        <f>IF(SUM(X565:X594)=0, "-", SUM(X565:X594))</f>
        <v>50</v>
      </c>
      <c r="J596" s="136"/>
      <c r="K596" s="135">
        <f>IF(SUM(Z565:Z594)=0, "-", SUM(Z565:Z594))</f>
        <v>3.9959800000000003</v>
      </c>
    </row>
    <row r="599" spans="1:28" ht="14.25" x14ac:dyDescent="0.2">
      <c r="C599" s="183" t="s">
        <v>127</v>
      </c>
      <c r="D599" s="183"/>
      <c r="E599" s="183"/>
      <c r="F599" s="183"/>
      <c r="G599" s="183"/>
      <c r="H599" s="172">
        <v>6713</v>
      </c>
      <c r="I599" s="172"/>
    </row>
    <row r="600" spans="1:28" ht="14.25" x14ac:dyDescent="0.2">
      <c r="C600" s="183" t="s">
        <v>128</v>
      </c>
      <c r="D600" s="183"/>
      <c r="E600" s="183"/>
      <c r="F600" s="183"/>
      <c r="G600" s="183"/>
      <c r="H600" s="172">
        <v>317</v>
      </c>
      <c r="I600" s="172"/>
    </row>
    <row r="601" spans="1:28" ht="14.25" x14ac:dyDescent="0.2">
      <c r="C601" s="183" t="s">
        <v>129</v>
      </c>
      <c r="D601" s="183"/>
      <c r="E601" s="183"/>
      <c r="F601" s="183"/>
      <c r="G601" s="183"/>
      <c r="H601" s="172">
        <v>85291</v>
      </c>
      <c r="I601" s="172"/>
    </row>
    <row r="602" spans="1:28" ht="14.25" x14ac:dyDescent="0.2">
      <c r="C602" s="183" t="s">
        <v>130</v>
      </c>
      <c r="D602" s="183"/>
      <c r="E602" s="183"/>
      <c r="F602" s="183"/>
      <c r="G602" s="183"/>
      <c r="H602" s="172">
        <v>6174</v>
      </c>
      <c r="I602" s="172"/>
    </row>
    <row r="603" spans="1:28" ht="14.25" x14ac:dyDescent="0.2">
      <c r="C603" s="183" t="s">
        <v>131</v>
      </c>
      <c r="D603" s="183"/>
      <c r="E603" s="183"/>
      <c r="F603" s="183"/>
      <c r="G603" s="183"/>
      <c r="H603" s="172">
        <v>3209</v>
      </c>
      <c r="I603" s="172"/>
    </row>
    <row r="604" spans="1:28" ht="14.25" x14ac:dyDescent="0.2">
      <c r="C604" s="183" t="s">
        <v>134</v>
      </c>
      <c r="D604" s="183"/>
      <c r="E604" s="183"/>
      <c r="F604" s="183"/>
      <c r="G604" s="183"/>
      <c r="H604" s="172">
        <v>101704</v>
      </c>
      <c r="I604" s="172"/>
    </row>
    <row r="606" spans="1:28" ht="16.5" x14ac:dyDescent="0.25">
      <c r="A606" s="186" t="s">
        <v>1261</v>
      </c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</row>
    <row r="607" spans="1:28" ht="99.75" x14ac:dyDescent="0.2">
      <c r="A607" s="149" t="s">
        <v>242</v>
      </c>
      <c r="B607" s="149" t="s">
        <v>1478</v>
      </c>
      <c r="C607" s="145" t="s">
        <v>1113</v>
      </c>
      <c r="D607" s="3">
        <v>1.2800000000000001E-2</v>
      </c>
      <c r="E607" s="141">
        <v>4077.8</v>
      </c>
      <c r="F607" s="141">
        <v>1957.58</v>
      </c>
      <c r="G607" s="140">
        <v>53</v>
      </c>
      <c r="H607" s="140">
        <v>16</v>
      </c>
      <c r="I607" s="142">
        <v>25</v>
      </c>
      <c r="J607" s="141">
        <v>155.25</v>
      </c>
      <c r="K607" s="141">
        <v>1.9872000000000001</v>
      </c>
      <c r="T607">
        <v>83</v>
      </c>
      <c r="U607">
        <v>12</v>
      </c>
      <c r="V607">
        <v>16</v>
      </c>
      <c r="W607">
        <v>25</v>
      </c>
      <c r="X607">
        <v>4</v>
      </c>
      <c r="Y607">
        <v>1.9872000000000001</v>
      </c>
      <c r="Z607">
        <v>0.28992000000000007</v>
      </c>
      <c r="AA607">
        <v>19</v>
      </c>
      <c r="AB607">
        <v>11</v>
      </c>
    </row>
    <row r="608" spans="1:28" ht="14.25" x14ac:dyDescent="0.2">
      <c r="C608" s="35" t="s">
        <v>208</v>
      </c>
      <c r="D608" s="3"/>
      <c r="E608" s="139">
        <v>1210.95</v>
      </c>
      <c r="F608" s="139">
        <v>305.49</v>
      </c>
      <c r="G608" s="140"/>
      <c r="H608" s="140"/>
      <c r="I608" s="140">
        <v>4</v>
      </c>
      <c r="J608" s="139">
        <v>22.650000000000002</v>
      </c>
      <c r="K608" s="139">
        <v>0.28992000000000007</v>
      </c>
    </row>
    <row r="609" spans="1:28" x14ac:dyDescent="0.2">
      <c r="C609" s="36" t="s">
        <v>1491</v>
      </c>
    </row>
    <row r="610" spans="1:28" x14ac:dyDescent="0.2">
      <c r="C610" s="20" t="s">
        <v>89</v>
      </c>
      <c r="D610" s="37">
        <v>105</v>
      </c>
      <c r="E610" s="144">
        <v>1433.0358000000001</v>
      </c>
      <c r="F610" s="37" t="s">
        <v>1130</v>
      </c>
      <c r="G610" s="143">
        <v>19</v>
      </c>
      <c r="H610" s="37" t="s">
        <v>1131</v>
      </c>
      <c r="I610" s="37"/>
      <c r="J610" s="37"/>
      <c r="K610" s="37"/>
    </row>
    <row r="611" spans="1:28" x14ac:dyDescent="0.2">
      <c r="C611" s="20" t="s">
        <v>92</v>
      </c>
      <c r="D611" s="37">
        <v>65</v>
      </c>
      <c r="E611" s="144">
        <v>837.83309999999994</v>
      </c>
      <c r="F611" s="37" t="s">
        <v>1205</v>
      </c>
      <c r="G611" s="143">
        <v>11</v>
      </c>
      <c r="H611" s="37" t="s">
        <v>1206</v>
      </c>
      <c r="I611" s="37"/>
      <c r="J611" s="37"/>
      <c r="K611" s="37"/>
    </row>
    <row r="612" spans="1:28" x14ac:dyDescent="0.2">
      <c r="C612" s="20" t="s">
        <v>95</v>
      </c>
      <c r="D612" s="37"/>
      <c r="E612" s="144">
        <v>6348.6689000000006</v>
      </c>
      <c r="F612" s="37"/>
      <c r="G612" s="143">
        <v>83</v>
      </c>
      <c r="H612" s="37"/>
      <c r="I612" s="37"/>
      <c r="J612" s="37"/>
      <c r="K612" s="37"/>
    </row>
    <row r="613" spans="1:28" ht="14.25" x14ac:dyDescent="0.2">
      <c r="A613" s="149" t="s">
        <v>1492</v>
      </c>
      <c r="B613" s="149" t="s">
        <v>1146</v>
      </c>
      <c r="C613" s="145" t="s">
        <v>1173</v>
      </c>
      <c r="D613" s="3">
        <v>1.3056000000000001</v>
      </c>
      <c r="E613" s="141">
        <v>0</v>
      </c>
      <c r="F613" s="141">
        <v>0</v>
      </c>
      <c r="G613" s="140">
        <v>0</v>
      </c>
      <c r="H613" s="140">
        <v>0</v>
      </c>
      <c r="I613" s="142">
        <v>0</v>
      </c>
      <c r="J613" s="141">
        <v>0</v>
      </c>
      <c r="K613" s="141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</row>
    <row r="614" spans="1:28" ht="14.25" x14ac:dyDescent="0.2">
      <c r="C614" s="35" t="s">
        <v>88</v>
      </c>
      <c r="D614" s="3"/>
      <c r="E614" s="139">
        <v>0</v>
      </c>
      <c r="F614" s="139">
        <v>0</v>
      </c>
      <c r="G614" s="140"/>
      <c r="H614" s="140"/>
      <c r="I614" s="140">
        <v>0</v>
      </c>
      <c r="J614" s="139">
        <v>0</v>
      </c>
      <c r="K614" s="139">
        <v>0</v>
      </c>
    </row>
    <row r="615" spans="1:28" ht="99.75" x14ac:dyDescent="0.2">
      <c r="A615" s="149" t="s">
        <v>243</v>
      </c>
      <c r="B615" s="149" t="s">
        <v>1465</v>
      </c>
      <c r="C615" s="145" t="s">
        <v>1224</v>
      </c>
      <c r="D615" s="3">
        <v>1.3056000000000001</v>
      </c>
      <c r="E615" s="141">
        <v>725.69</v>
      </c>
      <c r="F615" s="141">
        <v>0</v>
      </c>
      <c r="G615" s="140">
        <v>947</v>
      </c>
      <c r="H615" s="140">
        <v>0</v>
      </c>
      <c r="I615" s="142">
        <v>0</v>
      </c>
      <c r="J615" s="141">
        <v>0</v>
      </c>
      <c r="K615" s="141">
        <v>0</v>
      </c>
      <c r="T615">
        <v>947</v>
      </c>
      <c r="U615">
        <v>947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</row>
    <row r="616" spans="1:28" ht="14.25" x14ac:dyDescent="0.2">
      <c r="C616" s="35" t="s">
        <v>88</v>
      </c>
      <c r="D616" s="3"/>
      <c r="E616" s="139">
        <v>0</v>
      </c>
      <c r="F616" s="139">
        <v>0</v>
      </c>
      <c r="G616" s="140"/>
      <c r="H616" s="140"/>
      <c r="I616" s="140">
        <v>0</v>
      </c>
      <c r="J616" s="139">
        <v>0</v>
      </c>
      <c r="K616" s="139">
        <v>0</v>
      </c>
    </row>
    <row r="617" spans="1:28" ht="119.25" x14ac:dyDescent="0.2">
      <c r="A617" s="149" t="s">
        <v>244</v>
      </c>
      <c r="B617" s="149" t="s">
        <v>1493</v>
      </c>
      <c r="C617" s="145" t="s">
        <v>1362</v>
      </c>
      <c r="D617" s="3">
        <v>4.1399999999999999E-2</v>
      </c>
      <c r="E617" s="141">
        <v>13902.73</v>
      </c>
      <c r="F617" s="141">
        <v>3535.46</v>
      </c>
      <c r="G617" s="140">
        <v>575</v>
      </c>
      <c r="H617" s="140">
        <v>257</v>
      </c>
      <c r="I617" s="142">
        <v>146</v>
      </c>
      <c r="J617" s="141">
        <v>729.09999999999991</v>
      </c>
      <c r="K617" s="141">
        <v>30.184739999999994</v>
      </c>
      <c r="T617">
        <v>993</v>
      </c>
      <c r="U617">
        <v>172</v>
      </c>
      <c r="V617">
        <v>257</v>
      </c>
      <c r="W617">
        <v>146</v>
      </c>
      <c r="X617">
        <v>22</v>
      </c>
      <c r="Y617">
        <v>30.184739999999994</v>
      </c>
      <c r="Z617">
        <v>1.66221</v>
      </c>
      <c r="AA617">
        <v>264</v>
      </c>
      <c r="AB617">
        <v>154</v>
      </c>
    </row>
    <row r="618" spans="1:28" ht="14.25" x14ac:dyDescent="0.2">
      <c r="C618" s="35" t="s">
        <v>208</v>
      </c>
      <c r="D618" s="3"/>
      <c r="E618" s="139">
        <v>6219.22</v>
      </c>
      <c r="F618" s="139">
        <v>538.83000000000004</v>
      </c>
      <c r="G618" s="140"/>
      <c r="H618" s="140"/>
      <c r="I618" s="140">
        <v>22</v>
      </c>
      <c r="J618" s="139">
        <v>40.15</v>
      </c>
      <c r="K618" s="139">
        <v>1.66221</v>
      </c>
    </row>
    <row r="619" spans="1:28" x14ac:dyDescent="0.2">
      <c r="C619" s="36" t="s">
        <v>1262</v>
      </c>
    </row>
    <row r="620" spans="1:28" x14ac:dyDescent="0.2">
      <c r="C620" s="20" t="s">
        <v>89</v>
      </c>
      <c r="D620" s="37">
        <v>105</v>
      </c>
      <c r="E620" s="144">
        <v>6386.35725</v>
      </c>
      <c r="F620" s="37" t="s">
        <v>1130</v>
      </c>
      <c r="G620" s="143">
        <v>264</v>
      </c>
      <c r="H620" s="37" t="s">
        <v>1131</v>
      </c>
      <c r="I620" s="37"/>
      <c r="J620" s="37"/>
      <c r="K620" s="37"/>
    </row>
    <row r="621" spans="1:28" x14ac:dyDescent="0.2">
      <c r="C621" s="20" t="s">
        <v>92</v>
      </c>
      <c r="D621" s="37">
        <v>65</v>
      </c>
      <c r="E621" s="144">
        <v>3733.8226250000002</v>
      </c>
      <c r="F621" s="37" t="s">
        <v>1205</v>
      </c>
      <c r="G621" s="143">
        <v>154</v>
      </c>
      <c r="H621" s="37" t="s">
        <v>1206</v>
      </c>
      <c r="I621" s="37"/>
      <c r="J621" s="37"/>
      <c r="K621" s="37"/>
    </row>
    <row r="622" spans="1:28" x14ac:dyDescent="0.2">
      <c r="C622" s="20" t="s">
        <v>95</v>
      </c>
      <c r="D622" s="37"/>
      <c r="E622" s="144">
        <v>24022.909874999998</v>
      </c>
      <c r="F622" s="37"/>
      <c r="G622" s="143">
        <v>993</v>
      </c>
      <c r="H622" s="37"/>
      <c r="I622" s="37"/>
      <c r="J622" s="37"/>
      <c r="K622" s="37"/>
    </row>
    <row r="623" spans="1:28" ht="14.25" x14ac:dyDescent="0.2">
      <c r="A623" s="149" t="s">
        <v>1494</v>
      </c>
      <c r="B623" s="149" t="s">
        <v>1146</v>
      </c>
      <c r="C623" s="145" t="s">
        <v>1173</v>
      </c>
      <c r="D623" s="3">
        <v>4.2020999999999997</v>
      </c>
      <c r="E623" s="141">
        <v>0</v>
      </c>
      <c r="F623" s="141">
        <v>0</v>
      </c>
      <c r="G623" s="140">
        <v>0</v>
      </c>
      <c r="H623" s="140">
        <v>0</v>
      </c>
      <c r="I623" s="142">
        <v>0</v>
      </c>
      <c r="J623" s="141">
        <v>0</v>
      </c>
      <c r="K623" s="141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</row>
    <row r="624" spans="1:28" ht="14.25" x14ac:dyDescent="0.2">
      <c r="C624" s="35" t="s">
        <v>88</v>
      </c>
      <c r="D624" s="3"/>
      <c r="E624" s="139">
        <v>0</v>
      </c>
      <c r="F624" s="139">
        <v>0</v>
      </c>
      <c r="G624" s="140"/>
      <c r="H624" s="140"/>
      <c r="I624" s="140">
        <v>0</v>
      </c>
      <c r="J624" s="139">
        <v>0</v>
      </c>
      <c r="K624" s="139">
        <v>0</v>
      </c>
    </row>
    <row r="625" spans="1:28" ht="14.25" x14ac:dyDescent="0.2">
      <c r="A625" s="149" t="s">
        <v>1495</v>
      </c>
      <c r="B625" s="149" t="s">
        <v>1146</v>
      </c>
      <c r="C625" s="145" t="s">
        <v>1228</v>
      </c>
      <c r="D625" s="3">
        <v>0.18629999999999999</v>
      </c>
      <c r="E625" s="141">
        <v>0</v>
      </c>
      <c r="F625" s="141">
        <v>0</v>
      </c>
      <c r="G625" s="140">
        <v>0</v>
      </c>
      <c r="H625" s="140">
        <v>0</v>
      </c>
      <c r="I625" s="142">
        <v>0</v>
      </c>
      <c r="J625" s="141">
        <v>0</v>
      </c>
      <c r="K625" s="141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</row>
    <row r="626" spans="1:28" ht="14.25" x14ac:dyDescent="0.2">
      <c r="C626" s="35" t="s">
        <v>99</v>
      </c>
      <c r="D626" s="3"/>
      <c r="E626" s="139">
        <v>0</v>
      </c>
      <c r="F626" s="139">
        <v>0</v>
      </c>
      <c r="G626" s="140"/>
      <c r="H626" s="140"/>
      <c r="I626" s="140">
        <v>0</v>
      </c>
      <c r="J626" s="139">
        <v>0</v>
      </c>
      <c r="K626" s="139">
        <v>0</v>
      </c>
    </row>
    <row r="627" spans="1:28" ht="99.75" x14ac:dyDescent="0.2">
      <c r="A627" s="149" t="s">
        <v>245</v>
      </c>
      <c r="B627" s="149" t="s">
        <v>1465</v>
      </c>
      <c r="C627" s="145" t="s">
        <v>1224</v>
      </c>
      <c r="D627" s="3">
        <v>4.202</v>
      </c>
      <c r="E627" s="141">
        <v>725.69</v>
      </c>
      <c r="F627" s="141">
        <v>0</v>
      </c>
      <c r="G627" s="140">
        <v>3049</v>
      </c>
      <c r="H627" s="140">
        <v>0</v>
      </c>
      <c r="I627" s="142">
        <v>0</v>
      </c>
      <c r="J627" s="141">
        <v>0</v>
      </c>
      <c r="K627" s="141">
        <v>0</v>
      </c>
      <c r="T627">
        <v>3049</v>
      </c>
      <c r="U627">
        <v>3049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</row>
    <row r="628" spans="1:28" ht="14.25" x14ac:dyDescent="0.2">
      <c r="C628" s="35" t="s">
        <v>88</v>
      </c>
      <c r="D628" s="3"/>
      <c r="E628" s="139">
        <v>0</v>
      </c>
      <c r="F628" s="139">
        <v>0</v>
      </c>
      <c r="G628" s="140"/>
      <c r="H628" s="140"/>
      <c r="I628" s="140">
        <v>0</v>
      </c>
      <c r="J628" s="139">
        <v>0</v>
      </c>
      <c r="K628" s="139">
        <v>0</v>
      </c>
    </row>
    <row r="629" spans="1:28" ht="99.75" x14ac:dyDescent="0.2">
      <c r="A629" s="149" t="s">
        <v>246</v>
      </c>
      <c r="B629" s="149" t="s">
        <v>1496</v>
      </c>
      <c r="C629" s="145" t="s">
        <v>1263</v>
      </c>
      <c r="D629" s="3">
        <v>9.0999999999999998E-2</v>
      </c>
      <c r="E629" s="141">
        <v>8200</v>
      </c>
      <c r="F629" s="141">
        <v>0</v>
      </c>
      <c r="G629" s="140">
        <v>746</v>
      </c>
      <c r="H629" s="140">
        <v>0</v>
      </c>
      <c r="I629" s="142">
        <v>0</v>
      </c>
      <c r="J629" s="141">
        <v>0</v>
      </c>
      <c r="K629" s="141">
        <v>0</v>
      </c>
      <c r="T629">
        <v>746</v>
      </c>
      <c r="U629">
        <v>746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</row>
    <row r="630" spans="1:28" ht="14.25" x14ac:dyDescent="0.2">
      <c r="C630" s="35" t="s">
        <v>99</v>
      </c>
      <c r="D630" s="3"/>
      <c r="E630" s="139">
        <v>0</v>
      </c>
      <c r="F630" s="139">
        <v>0</v>
      </c>
      <c r="G630" s="140"/>
      <c r="H630" s="140"/>
      <c r="I630" s="140">
        <v>0</v>
      </c>
      <c r="J630" s="139">
        <v>0</v>
      </c>
      <c r="K630" s="139">
        <v>0</v>
      </c>
    </row>
    <row r="631" spans="1:28" x14ac:dyDescent="0.2">
      <c r="C631" s="36" t="s">
        <v>1490</v>
      </c>
    </row>
    <row r="633" spans="1:28" ht="15" x14ac:dyDescent="0.25">
      <c r="A633" s="4"/>
      <c r="B633" s="4"/>
      <c r="C633" s="187" t="s">
        <v>1264</v>
      </c>
      <c r="D633" s="187"/>
      <c r="E633" s="187"/>
      <c r="F633" s="187"/>
      <c r="G633" s="136">
        <f>IF(SUM(T606:T632)=0, "-", SUM(T606:T632))</f>
        <v>5818</v>
      </c>
      <c r="H633" s="136">
        <f>IF(SUM(V606:V632)=0, "-", SUM(V606:V632))</f>
        <v>273</v>
      </c>
      <c r="I633" s="138">
        <f>IF(SUM(W606:W632)=0, "-", SUM(W606:W632))</f>
        <v>171</v>
      </c>
      <c r="J633" s="136"/>
      <c r="K633" s="137">
        <f>IF(SUM(Y606:Y632)=0, "-", SUM(Y606:Y632))</f>
        <v>32.171939999999992</v>
      </c>
    </row>
    <row r="634" spans="1:28" ht="15" x14ac:dyDescent="0.25">
      <c r="A634" s="4"/>
      <c r="B634" s="4"/>
      <c r="C634" s="4"/>
      <c r="D634" s="4"/>
      <c r="E634" s="4"/>
      <c r="F634" s="4"/>
      <c r="G634" s="136"/>
      <c r="H634" s="136"/>
      <c r="I634" s="136">
        <f>IF(SUM(X606:X632)=0, "-", SUM(X606:X632))</f>
        <v>26</v>
      </c>
      <c r="J634" s="136"/>
      <c r="K634" s="135">
        <f>IF(SUM(Z606:Z632)=0, "-", SUM(Z606:Z632))</f>
        <v>1.9521299999999999</v>
      </c>
    </row>
    <row r="637" spans="1:28" ht="14.25" x14ac:dyDescent="0.2">
      <c r="C637" s="183" t="s">
        <v>127</v>
      </c>
      <c r="D637" s="183"/>
      <c r="E637" s="183"/>
      <c r="F637" s="183"/>
      <c r="G637" s="183"/>
      <c r="H637" s="172">
        <v>273</v>
      </c>
      <c r="I637" s="172"/>
    </row>
    <row r="638" spans="1:28" ht="14.25" x14ac:dyDescent="0.2">
      <c r="C638" s="183" t="s">
        <v>128</v>
      </c>
      <c r="D638" s="183"/>
      <c r="E638" s="183"/>
      <c r="F638" s="183"/>
      <c r="G638" s="183"/>
      <c r="H638" s="172">
        <v>171</v>
      </c>
      <c r="I638" s="172"/>
    </row>
    <row r="639" spans="1:28" ht="14.25" x14ac:dyDescent="0.2">
      <c r="C639" s="183" t="s">
        <v>129</v>
      </c>
      <c r="D639" s="183"/>
      <c r="E639" s="183"/>
      <c r="F639" s="183"/>
      <c r="G639" s="183"/>
      <c r="H639" s="172">
        <v>4926</v>
      </c>
      <c r="I639" s="172"/>
    </row>
    <row r="640" spans="1:28" ht="14.25" x14ac:dyDescent="0.2">
      <c r="C640" s="183" t="s">
        <v>130</v>
      </c>
      <c r="D640" s="183"/>
      <c r="E640" s="183"/>
      <c r="F640" s="183"/>
      <c r="G640" s="183"/>
      <c r="H640" s="172">
        <v>283</v>
      </c>
      <c r="I640" s="172"/>
    </row>
    <row r="641" spans="1:28" ht="14.25" x14ac:dyDescent="0.2">
      <c r="C641" s="183" t="s">
        <v>131</v>
      </c>
      <c r="D641" s="183"/>
      <c r="E641" s="183"/>
      <c r="F641" s="183"/>
      <c r="G641" s="183"/>
      <c r="H641" s="172">
        <v>165</v>
      </c>
      <c r="I641" s="172"/>
    </row>
    <row r="642" spans="1:28" ht="14.25" x14ac:dyDescent="0.2">
      <c r="C642" s="183" t="s">
        <v>134</v>
      </c>
      <c r="D642" s="183"/>
      <c r="E642" s="183"/>
      <c r="F642" s="183"/>
      <c r="G642" s="183"/>
      <c r="H642" s="172">
        <v>5818</v>
      </c>
      <c r="I642" s="172"/>
    </row>
    <row r="644" spans="1:28" ht="16.5" x14ac:dyDescent="0.25">
      <c r="A644" s="186" t="s">
        <v>1265</v>
      </c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</row>
    <row r="645" spans="1:28" ht="85.5" x14ac:dyDescent="0.2">
      <c r="A645" s="149" t="s">
        <v>188</v>
      </c>
      <c r="B645" s="149" t="s">
        <v>1481</v>
      </c>
      <c r="C645" s="145" t="s">
        <v>1482</v>
      </c>
      <c r="D645" s="3">
        <v>1.3420000000000001</v>
      </c>
      <c r="E645" s="141">
        <v>2056.9</v>
      </c>
      <c r="F645" s="141">
        <v>1563.28</v>
      </c>
      <c r="G645" s="140">
        <v>2760</v>
      </c>
      <c r="H645" s="140">
        <v>662</v>
      </c>
      <c r="I645" s="142">
        <v>2098</v>
      </c>
      <c r="J645" s="141">
        <v>64.78</v>
      </c>
      <c r="K645" s="141">
        <v>86.934760000000011</v>
      </c>
      <c r="T645">
        <v>3950</v>
      </c>
      <c r="U645">
        <v>0</v>
      </c>
      <c r="V645">
        <v>662</v>
      </c>
      <c r="W645">
        <v>2098</v>
      </c>
      <c r="X645">
        <v>268</v>
      </c>
      <c r="Y645">
        <v>86.934760000000011</v>
      </c>
      <c r="Z645">
        <v>23.068980000000003</v>
      </c>
      <c r="AA645">
        <v>725</v>
      </c>
      <c r="AB645">
        <v>465</v>
      </c>
    </row>
    <row r="646" spans="1:28" ht="14.25" x14ac:dyDescent="0.2">
      <c r="C646" s="35" t="s">
        <v>97</v>
      </c>
      <c r="D646" s="3"/>
      <c r="E646" s="139">
        <v>493.62</v>
      </c>
      <c r="F646" s="139">
        <v>199.4</v>
      </c>
      <c r="G646" s="140"/>
      <c r="H646" s="140"/>
      <c r="I646" s="140">
        <v>268</v>
      </c>
      <c r="J646" s="139">
        <v>17.190000000000001</v>
      </c>
      <c r="K646" s="139">
        <v>23.068980000000003</v>
      </c>
    </row>
    <row r="647" spans="1:28" x14ac:dyDescent="0.2">
      <c r="C647" s="36" t="s">
        <v>1483</v>
      </c>
    </row>
    <row r="648" spans="1:28" x14ac:dyDescent="0.2">
      <c r="C648" s="20" t="s">
        <v>89</v>
      </c>
      <c r="D648" s="37">
        <v>78</v>
      </c>
      <c r="E648" s="144">
        <v>540.55560000000003</v>
      </c>
      <c r="F648" s="37"/>
      <c r="G648" s="143">
        <v>725</v>
      </c>
      <c r="H648" s="37" t="s">
        <v>220</v>
      </c>
      <c r="I648" s="37"/>
      <c r="J648" s="37"/>
      <c r="K648" s="37"/>
    </row>
    <row r="649" spans="1:28" x14ac:dyDescent="0.2">
      <c r="C649" s="20" t="s">
        <v>92</v>
      </c>
      <c r="D649" s="37">
        <v>50</v>
      </c>
      <c r="E649" s="144">
        <v>346.51</v>
      </c>
      <c r="F649" s="37"/>
      <c r="G649" s="143">
        <v>465</v>
      </c>
      <c r="H649" s="37" t="s">
        <v>185</v>
      </c>
      <c r="I649" s="37"/>
      <c r="J649" s="37"/>
      <c r="K649" s="37"/>
    </row>
    <row r="650" spans="1:28" x14ac:dyDescent="0.2">
      <c r="C650" s="20" t="s">
        <v>95</v>
      </c>
      <c r="D650" s="37"/>
      <c r="E650" s="144">
        <v>2943.9656</v>
      </c>
      <c r="F650" s="37"/>
      <c r="G650" s="143">
        <v>3950</v>
      </c>
      <c r="H650" s="37"/>
      <c r="I650" s="37"/>
      <c r="J650" s="37"/>
      <c r="K650" s="37"/>
    </row>
    <row r="651" spans="1:28" ht="14.25" x14ac:dyDescent="0.2">
      <c r="A651" s="149" t="s">
        <v>1484</v>
      </c>
      <c r="B651" s="149" t="s">
        <v>1146</v>
      </c>
      <c r="C651" s="145" t="s">
        <v>1485</v>
      </c>
      <c r="D651" s="3">
        <v>13.420000000000002</v>
      </c>
      <c r="E651" s="141">
        <v>0</v>
      </c>
      <c r="F651" s="141">
        <v>0</v>
      </c>
      <c r="G651" s="140">
        <v>0</v>
      </c>
      <c r="H651" s="140">
        <v>0</v>
      </c>
      <c r="I651" s="142">
        <v>0</v>
      </c>
      <c r="J651" s="141">
        <v>0</v>
      </c>
      <c r="K651" s="14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</row>
    <row r="652" spans="1:28" ht="14.25" x14ac:dyDescent="0.2">
      <c r="C652" s="35" t="s">
        <v>88</v>
      </c>
      <c r="D652" s="3"/>
      <c r="E652" s="139">
        <v>0</v>
      </c>
      <c r="F652" s="139">
        <v>0</v>
      </c>
      <c r="G652" s="140"/>
      <c r="H652" s="140"/>
      <c r="I652" s="140">
        <v>0</v>
      </c>
      <c r="J652" s="139">
        <v>0</v>
      </c>
      <c r="K652" s="139">
        <v>0</v>
      </c>
    </row>
    <row r="653" spans="1:28" ht="14.25" x14ac:dyDescent="0.2">
      <c r="A653" s="149" t="s">
        <v>1486</v>
      </c>
      <c r="B653" s="149" t="s">
        <v>1146</v>
      </c>
      <c r="C653" s="145" t="s">
        <v>1487</v>
      </c>
      <c r="D653" s="3">
        <v>12.8832</v>
      </c>
      <c r="E653" s="141">
        <v>0</v>
      </c>
      <c r="F653" s="141">
        <v>0</v>
      </c>
      <c r="G653" s="140">
        <v>0</v>
      </c>
      <c r="H653" s="140">
        <v>0</v>
      </c>
      <c r="I653" s="142">
        <v>0</v>
      </c>
      <c r="J653" s="141">
        <v>0</v>
      </c>
      <c r="K653" s="141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</row>
    <row r="654" spans="1:28" ht="14.25" x14ac:dyDescent="0.2">
      <c r="C654" s="35" t="s">
        <v>99</v>
      </c>
      <c r="D654" s="3"/>
      <c r="E654" s="139">
        <v>0</v>
      </c>
      <c r="F654" s="139">
        <v>0</v>
      </c>
      <c r="G654" s="140"/>
      <c r="H654" s="140"/>
      <c r="I654" s="140">
        <v>0</v>
      </c>
      <c r="J654" s="139">
        <v>0</v>
      </c>
      <c r="K654" s="139">
        <v>0</v>
      </c>
    </row>
    <row r="655" spans="1:28" ht="99.75" x14ac:dyDescent="0.2">
      <c r="A655" s="149" t="s">
        <v>247</v>
      </c>
      <c r="B655" s="149" t="s">
        <v>1476</v>
      </c>
      <c r="C655" s="145" t="s">
        <v>1270</v>
      </c>
      <c r="D655" s="3">
        <v>13.42</v>
      </c>
      <c r="E655" s="141">
        <v>185.49</v>
      </c>
      <c r="F655" s="141">
        <v>0</v>
      </c>
      <c r="G655" s="140">
        <v>2489</v>
      </c>
      <c r="H655" s="140">
        <v>0</v>
      </c>
      <c r="I655" s="142">
        <v>0</v>
      </c>
      <c r="J655" s="141">
        <v>0</v>
      </c>
      <c r="K655" s="141">
        <v>0</v>
      </c>
      <c r="T655">
        <v>2489</v>
      </c>
      <c r="U655">
        <v>2489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</row>
    <row r="656" spans="1:28" ht="14.25" x14ac:dyDescent="0.2">
      <c r="C656" s="35" t="s">
        <v>88</v>
      </c>
      <c r="D656" s="3"/>
      <c r="E656" s="139">
        <v>0</v>
      </c>
      <c r="F656" s="139">
        <v>0</v>
      </c>
      <c r="G656" s="140"/>
      <c r="H656" s="140"/>
      <c r="I656" s="140">
        <v>0</v>
      </c>
      <c r="J656" s="139">
        <v>0</v>
      </c>
      <c r="K656" s="139">
        <v>0</v>
      </c>
    </row>
    <row r="657" spans="1:28" ht="114" x14ac:dyDescent="0.2">
      <c r="A657" s="149" t="s">
        <v>248</v>
      </c>
      <c r="B657" s="149" t="s">
        <v>1488</v>
      </c>
      <c r="C657" s="145" t="s">
        <v>1489</v>
      </c>
      <c r="D657" s="3">
        <v>12.8832</v>
      </c>
      <c r="E657" s="141">
        <v>578.89</v>
      </c>
      <c r="F657" s="141">
        <v>0</v>
      </c>
      <c r="G657" s="140">
        <v>7458</v>
      </c>
      <c r="H657" s="140">
        <v>0</v>
      </c>
      <c r="I657" s="142">
        <v>0</v>
      </c>
      <c r="J657" s="141">
        <v>0</v>
      </c>
      <c r="K657" s="141">
        <v>0</v>
      </c>
      <c r="T657">
        <v>7458</v>
      </c>
      <c r="U657">
        <v>7458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</row>
    <row r="658" spans="1:28" ht="14.25" x14ac:dyDescent="0.2">
      <c r="C658" s="35" t="s">
        <v>99</v>
      </c>
      <c r="D658" s="3"/>
      <c r="E658" s="139">
        <v>0</v>
      </c>
      <c r="F658" s="139">
        <v>0</v>
      </c>
      <c r="G658" s="140"/>
      <c r="H658" s="140"/>
      <c r="I658" s="140">
        <v>0</v>
      </c>
      <c r="J658" s="139">
        <v>0</v>
      </c>
      <c r="K658" s="139">
        <v>0</v>
      </c>
    </row>
    <row r="659" spans="1:28" ht="99.75" x14ac:dyDescent="0.2">
      <c r="A659" s="149" t="s">
        <v>249</v>
      </c>
      <c r="B659" s="149" t="s">
        <v>1395</v>
      </c>
      <c r="C659" s="145" t="s">
        <v>1143</v>
      </c>
      <c r="D659" s="3">
        <v>38.299999999999997</v>
      </c>
      <c r="E659" s="141">
        <v>42.98</v>
      </c>
      <c r="F659" s="141">
        <v>0</v>
      </c>
      <c r="G659" s="140">
        <v>1646</v>
      </c>
      <c r="H659" s="140">
        <v>0</v>
      </c>
      <c r="I659" s="142">
        <v>0</v>
      </c>
      <c r="J659" s="141">
        <v>0</v>
      </c>
      <c r="K659" s="141">
        <v>0</v>
      </c>
      <c r="T659">
        <v>1646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</row>
    <row r="660" spans="1:28" ht="14.25" x14ac:dyDescent="0.2">
      <c r="C660" s="35" t="s">
        <v>125</v>
      </c>
      <c r="D660" s="3"/>
      <c r="E660" s="139">
        <v>0</v>
      </c>
      <c r="F660" s="139">
        <v>0</v>
      </c>
      <c r="G660" s="140"/>
      <c r="H660" s="140"/>
      <c r="I660" s="140">
        <v>0</v>
      </c>
      <c r="J660" s="139">
        <v>0</v>
      </c>
      <c r="K660" s="139">
        <v>0</v>
      </c>
    </row>
    <row r="661" spans="1:28" x14ac:dyDescent="0.2">
      <c r="C661" s="36" t="s">
        <v>1271</v>
      </c>
    </row>
    <row r="662" spans="1:28" ht="99.75" x14ac:dyDescent="0.2">
      <c r="A662" s="149" t="s">
        <v>250</v>
      </c>
      <c r="B662" s="149" t="s">
        <v>1396</v>
      </c>
      <c r="C662" s="145" t="s">
        <v>1397</v>
      </c>
      <c r="D662" s="3">
        <v>38.299999999999997</v>
      </c>
      <c r="E662" s="141">
        <v>17.32</v>
      </c>
      <c r="F662" s="141">
        <v>0</v>
      </c>
      <c r="G662" s="140">
        <v>663</v>
      </c>
      <c r="H662" s="140">
        <v>0</v>
      </c>
      <c r="I662" s="142">
        <v>0</v>
      </c>
      <c r="J662" s="141">
        <v>0</v>
      </c>
      <c r="K662" s="141">
        <v>0</v>
      </c>
      <c r="T662">
        <v>663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</row>
    <row r="663" spans="1:28" ht="14.25" x14ac:dyDescent="0.2">
      <c r="C663" s="35" t="s">
        <v>125</v>
      </c>
      <c r="D663" s="3"/>
      <c r="E663" s="139">
        <v>0</v>
      </c>
      <c r="F663" s="139">
        <v>0</v>
      </c>
      <c r="G663" s="140"/>
      <c r="H663" s="140"/>
      <c r="I663" s="140">
        <v>0</v>
      </c>
      <c r="J663" s="139">
        <v>0</v>
      </c>
      <c r="K663" s="139">
        <v>0</v>
      </c>
    </row>
    <row r="665" spans="1:28" ht="15" x14ac:dyDescent="0.25">
      <c r="A665" s="4"/>
      <c r="B665" s="4"/>
      <c r="C665" s="187" t="s">
        <v>1272</v>
      </c>
      <c r="D665" s="187"/>
      <c r="E665" s="187"/>
      <c r="F665" s="187"/>
      <c r="G665" s="136">
        <f>IF(SUM(T644:T664)=0, "-", SUM(T644:T664))</f>
        <v>16206</v>
      </c>
      <c r="H665" s="136">
        <f>IF(SUM(V644:V664)=0, "-", SUM(V644:V664))</f>
        <v>662</v>
      </c>
      <c r="I665" s="138">
        <f>IF(SUM(W644:W664)=0, "-", SUM(W644:W664))</f>
        <v>2098</v>
      </c>
      <c r="J665" s="136"/>
      <c r="K665" s="137">
        <f>IF(SUM(Y644:Y664)=0, "-", SUM(Y644:Y664))</f>
        <v>86.934760000000011</v>
      </c>
    </row>
    <row r="666" spans="1:28" ht="15" x14ac:dyDescent="0.25">
      <c r="A666" s="4"/>
      <c r="B666" s="4"/>
      <c r="C666" s="4"/>
      <c r="D666" s="4"/>
      <c r="E666" s="4"/>
      <c r="F666" s="4"/>
      <c r="G666" s="136"/>
      <c r="H666" s="136"/>
      <c r="I666" s="136">
        <f>IF(SUM(X644:X664)=0, "-", SUM(X644:X664))</f>
        <v>268</v>
      </c>
      <c r="J666" s="136"/>
      <c r="K666" s="135">
        <f>IF(SUM(Z644:Z664)=0, "-", SUM(Z644:Z664))</f>
        <v>23.068980000000003</v>
      </c>
    </row>
    <row r="669" spans="1:28" ht="14.25" x14ac:dyDescent="0.2">
      <c r="C669" s="183" t="s">
        <v>127</v>
      </c>
      <c r="D669" s="183"/>
      <c r="E669" s="183"/>
      <c r="F669" s="183"/>
      <c r="G669" s="183"/>
      <c r="H669" s="172">
        <v>662</v>
      </c>
      <c r="I669" s="172"/>
    </row>
    <row r="670" spans="1:28" ht="14.25" x14ac:dyDescent="0.2">
      <c r="C670" s="183" t="s">
        <v>128</v>
      </c>
      <c r="D670" s="183"/>
      <c r="E670" s="183"/>
      <c r="F670" s="183"/>
      <c r="G670" s="183"/>
      <c r="H670" s="172">
        <v>2098</v>
      </c>
      <c r="I670" s="172"/>
    </row>
    <row r="671" spans="1:28" ht="14.25" x14ac:dyDescent="0.2">
      <c r="C671" s="183" t="s">
        <v>129</v>
      </c>
      <c r="D671" s="183"/>
      <c r="E671" s="183"/>
      <c r="F671" s="183"/>
      <c r="G671" s="183"/>
      <c r="H671" s="172">
        <v>9947</v>
      </c>
      <c r="I671" s="172"/>
    </row>
    <row r="672" spans="1:28" ht="14.25" x14ac:dyDescent="0.2">
      <c r="C672" s="183" t="s">
        <v>130</v>
      </c>
      <c r="D672" s="183"/>
      <c r="E672" s="183"/>
      <c r="F672" s="183"/>
      <c r="G672" s="183"/>
      <c r="H672" s="172">
        <v>725</v>
      </c>
      <c r="I672" s="172"/>
    </row>
    <row r="673" spans="1:28" ht="14.25" x14ac:dyDescent="0.2">
      <c r="C673" s="183" t="s">
        <v>131</v>
      </c>
      <c r="D673" s="183"/>
      <c r="E673" s="183"/>
      <c r="F673" s="183"/>
      <c r="G673" s="183"/>
      <c r="H673" s="172">
        <v>465</v>
      </c>
      <c r="I673" s="172"/>
    </row>
    <row r="674" spans="1:28" ht="14.25" x14ac:dyDescent="0.2">
      <c r="C674" s="183" t="s">
        <v>132</v>
      </c>
      <c r="D674" s="183"/>
      <c r="E674" s="183"/>
      <c r="F674" s="183"/>
      <c r="G674" s="183"/>
      <c r="H674" s="172">
        <v>663</v>
      </c>
      <c r="I674" s="172"/>
    </row>
    <row r="675" spans="1:28" ht="14.25" x14ac:dyDescent="0.2">
      <c r="C675" s="183" t="s">
        <v>133</v>
      </c>
      <c r="D675" s="183"/>
      <c r="E675" s="183"/>
      <c r="F675" s="183"/>
      <c r="G675" s="183"/>
      <c r="H675" s="172">
        <v>1646</v>
      </c>
      <c r="I675" s="172"/>
    </row>
    <row r="676" spans="1:28" ht="14.25" x14ac:dyDescent="0.2">
      <c r="C676" s="183" t="s">
        <v>134</v>
      </c>
      <c r="D676" s="183"/>
      <c r="E676" s="183"/>
      <c r="F676" s="183"/>
      <c r="G676" s="183"/>
      <c r="H676" s="172">
        <v>16206</v>
      </c>
      <c r="I676" s="172"/>
    </row>
    <row r="678" spans="1:28" ht="16.5" x14ac:dyDescent="0.25">
      <c r="A678" s="186" t="s">
        <v>1273</v>
      </c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</row>
    <row r="679" spans="1:28" ht="119.25" x14ac:dyDescent="0.2">
      <c r="A679" s="149" t="s">
        <v>252</v>
      </c>
      <c r="B679" s="149" t="s">
        <v>1468</v>
      </c>
      <c r="C679" s="145" t="s">
        <v>1115</v>
      </c>
      <c r="D679" s="3">
        <v>2.7E-2</v>
      </c>
      <c r="E679" s="141">
        <v>950.7</v>
      </c>
      <c r="F679" s="141">
        <v>696.99</v>
      </c>
      <c r="G679" s="140">
        <v>26</v>
      </c>
      <c r="H679" s="140">
        <v>7</v>
      </c>
      <c r="I679" s="142">
        <v>19</v>
      </c>
      <c r="J679" s="141">
        <v>31.854999999999997</v>
      </c>
      <c r="K679" s="141">
        <v>0.86008499999999988</v>
      </c>
      <c r="T679">
        <v>45</v>
      </c>
      <c r="U679">
        <v>0</v>
      </c>
      <c r="V679">
        <v>7</v>
      </c>
      <c r="W679">
        <v>19</v>
      </c>
      <c r="X679">
        <v>2</v>
      </c>
      <c r="Y679">
        <v>0.86008499999999988</v>
      </c>
      <c r="Z679">
        <v>0.12959999999999999</v>
      </c>
      <c r="AA679">
        <v>12</v>
      </c>
      <c r="AB679">
        <v>7</v>
      </c>
    </row>
    <row r="680" spans="1:28" ht="14.25" x14ac:dyDescent="0.2">
      <c r="C680" s="35" t="s">
        <v>251</v>
      </c>
      <c r="D680" s="3"/>
      <c r="E680" s="139">
        <v>252.93</v>
      </c>
      <c r="F680" s="139">
        <v>64.09</v>
      </c>
      <c r="G680" s="140"/>
      <c r="H680" s="140"/>
      <c r="I680" s="140">
        <v>2</v>
      </c>
      <c r="J680" s="139">
        <v>4.8</v>
      </c>
      <c r="K680" s="139">
        <v>0.12959999999999999</v>
      </c>
    </row>
    <row r="681" spans="1:28" x14ac:dyDescent="0.2">
      <c r="C681" s="36" t="s">
        <v>1275</v>
      </c>
    </row>
    <row r="682" spans="1:28" x14ac:dyDescent="0.2">
      <c r="C682" s="20" t="s">
        <v>89</v>
      </c>
      <c r="D682" s="37">
        <v>142</v>
      </c>
      <c r="E682" s="144">
        <v>405.15155999999996</v>
      </c>
      <c r="F682" s="37" t="s">
        <v>1266</v>
      </c>
      <c r="G682" s="143">
        <v>12</v>
      </c>
      <c r="H682" s="37" t="s">
        <v>1267</v>
      </c>
      <c r="I682" s="37"/>
      <c r="J682" s="37"/>
      <c r="K682" s="37"/>
    </row>
    <row r="683" spans="1:28" x14ac:dyDescent="0.2">
      <c r="C683" s="20" t="s">
        <v>92</v>
      </c>
      <c r="D683" s="37">
        <v>95</v>
      </c>
      <c r="E683" s="144">
        <v>255.99364999999997</v>
      </c>
      <c r="F683" s="37" t="s">
        <v>1268</v>
      </c>
      <c r="G683" s="143">
        <v>7</v>
      </c>
      <c r="H683" s="37" t="s">
        <v>1269</v>
      </c>
      <c r="I683" s="37"/>
      <c r="J683" s="37"/>
      <c r="K683" s="37"/>
    </row>
    <row r="684" spans="1:28" x14ac:dyDescent="0.2">
      <c r="C684" s="20" t="s">
        <v>95</v>
      </c>
      <c r="D684" s="37"/>
      <c r="E684" s="144">
        <v>1611.84521</v>
      </c>
      <c r="F684" s="37"/>
      <c r="G684" s="143">
        <v>45</v>
      </c>
      <c r="H684" s="37"/>
      <c r="I684" s="37"/>
      <c r="J684" s="37"/>
      <c r="K684" s="37"/>
    </row>
    <row r="685" spans="1:28" ht="99.75" x14ac:dyDescent="0.2">
      <c r="A685" s="149" t="s">
        <v>253</v>
      </c>
      <c r="B685" s="149" t="s">
        <v>1469</v>
      </c>
      <c r="C685" s="145" t="s">
        <v>1276</v>
      </c>
      <c r="D685" s="3">
        <v>29.864999999999998</v>
      </c>
      <c r="E685" s="141">
        <v>9.67</v>
      </c>
      <c r="F685" s="141">
        <v>0</v>
      </c>
      <c r="G685" s="140">
        <v>289</v>
      </c>
      <c r="H685" s="140">
        <v>0</v>
      </c>
      <c r="I685" s="142">
        <v>0</v>
      </c>
      <c r="J685" s="141">
        <v>0</v>
      </c>
      <c r="K685" s="141">
        <v>0</v>
      </c>
      <c r="T685">
        <v>289</v>
      </c>
      <c r="U685">
        <v>289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</row>
    <row r="686" spans="1:28" ht="14.25" x14ac:dyDescent="0.2">
      <c r="C686" s="35" t="s">
        <v>117</v>
      </c>
      <c r="D686" s="3"/>
      <c r="E686" s="139">
        <v>0</v>
      </c>
      <c r="F686" s="139">
        <v>0</v>
      </c>
      <c r="G686" s="140"/>
      <c r="H686" s="140"/>
      <c r="I686" s="140">
        <v>0</v>
      </c>
      <c r="J686" s="139">
        <v>0</v>
      </c>
      <c r="K686" s="139">
        <v>0</v>
      </c>
    </row>
    <row r="687" spans="1:28" x14ac:dyDescent="0.2">
      <c r="C687" s="36" t="s">
        <v>1277</v>
      </c>
    </row>
    <row r="688" spans="1:28" ht="133.5" x14ac:dyDescent="0.2">
      <c r="A688" s="149" t="s">
        <v>254</v>
      </c>
      <c r="B688" s="149" t="s">
        <v>1470</v>
      </c>
      <c r="C688" s="145" t="s">
        <v>1361</v>
      </c>
      <c r="D688" s="3">
        <v>0.27200000000000002</v>
      </c>
      <c r="E688" s="141">
        <v>347.11</v>
      </c>
      <c r="F688" s="141">
        <v>80.97</v>
      </c>
      <c r="G688" s="140">
        <v>94</v>
      </c>
      <c r="H688" s="140">
        <v>72</v>
      </c>
      <c r="I688" s="142">
        <v>22</v>
      </c>
      <c r="J688" s="141">
        <v>29.669999999999998</v>
      </c>
      <c r="K688" s="141">
        <v>8.0702400000000001</v>
      </c>
      <c r="T688">
        <v>226</v>
      </c>
      <c r="U688">
        <v>0</v>
      </c>
      <c r="V688">
        <v>72</v>
      </c>
      <c r="W688">
        <v>22</v>
      </c>
      <c r="X688">
        <v>4</v>
      </c>
      <c r="Y688">
        <v>8.0702400000000001</v>
      </c>
      <c r="Z688">
        <v>0.36720000000000003</v>
      </c>
      <c r="AA688">
        <v>84</v>
      </c>
      <c r="AB688">
        <v>48</v>
      </c>
    </row>
    <row r="689" spans="1:28" ht="14.25" x14ac:dyDescent="0.2">
      <c r="C689" s="35" t="s">
        <v>97</v>
      </c>
      <c r="D689" s="3"/>
      <c r="E689" s="139">
        <v>266.14</v>
      </c>
      <c r="F689" s="139">
        <v>16.09</v>
      </c>
      <c r="G689" s="140"/>
      <c r="H689" s="140"/>
      <c r="I689" s="140">
        <v>4</v>
      </c>
      <c r="J689" s="139">
        <v>1.35</v>
      </c>
      <c r="K689" s="139">
        <v>0.36720000000000003</v>
      </c>
    </row>
    <row r="690" spans="1:28" x14ac:dyDescent="0.2">
      <c r="C690" s="36" t="s">
        <v>1278</v>
      </c>
    </row>
    <row r="691" spans="1:28" x14ac:dyDescent="0.2">
      <c r="C691" s="20" t="s">
        <v>89</v>
      </c>
      <c r="D691" s="37">
        <v>123</v>
      </c>
      <c r="E691" s="144">
        <v>312.42860999999999</v>
      </c>
      <c r="F691" s="37" t="s">
        <v>1211</v>
      </c>
      <c r="G691" s="143">
        <v>84</v>
      </c>
      <c r="H691" s="37" t="s">
        <v>1212</v>
      </c>
      <c r="I691" s="37"/>
      <c r="J691" s="37"/>
      <c r="K691" s="37"/>
    </row>
    <row r="692" spans="1:28" x14ac:dyDescent="0.2">
      <c r="C692" s="20" t="s">
        <v>92</v>
      </c>
      <c r="D692" s="37">
        <v>75</v>
      </c>
      <c r="E692" s="144">
        <v>179.92162499999998</v>
      </c>
      <c r="F692" s="37" t="s">
        <v>1213</v>
      </c>
      <c r="G692" s="143">
        <v>48</v>
      </c>
      <c r="H692" s="37" t="s">
        <v>1214</v>
      </c>
      <c r="I692" s="37"/>
      <c r="J692" s="37"/>
      <c r="K692" s="37"/>
    </row>
    <row r="693" spans="1:28" x14ac:dyDescent="0.2">
      <c r="C693" s="20" t="s">
        <v>95</v>
      </c>
      <c r="D693" s="37"/>
      <c r="E693" s="144">
        <v>839.46023500000001</v>
      </c>
      <c r="F693" s="37"/>
      <c r="G693" s="143">
        <v>226</v>
      </c>
      <c r="H693" s="37"/>
      <c r="I693" s="37"/>
      <c r="J693" s="37"/>
      <c r="K693" s="37"/>
    </row>
    <row r="694" spans="1:28" ht="28.5" x14ac:dyDescent="0.2">
      <c r="A694" s="149" t="s">
        <v>1471</v>
      </c>
      <c r="B694" s="149" t="s">
        <v>1146</v>
      </c>
      <c r="C694" s="145" t="s">
        <v>1472</v>
      </c>
      <c r="D694" s="3">
        <v>28.016000000000002</v>
      </c>
      <c r="E694" s="141">
        <v>0</v>
      </c>
      <c r="F694" s="141">
        <v>0</v>
      </c>
      <c r="G694" s="140">
        <v>0</v>
      </c>
      <c r="H694" s="140">
        <v>0</v>
      </c>
      <c r="I694" s="142">
        <v>0</v>
      </c>
      <c r="J694" s="141">
        <v>0</v>
      </c>
      <c r="K694" s="141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</row>
    <row r="695" spans="1:28" ht="14.25" x14ac:dyDescent="0.2">
      <c r="C695" s="35" t="s">
        <v>117</v>
      </c>
      <c r="D695" s="3"/>
      <c r="E695" s="139">
        <v>0</v>
      </c>
      <c r="F695" s="139">
        <v>0</v>
      </c>
      <c r="G695" s="140"/>
      <c r="H695" s="140"/>
      <c r="I695" s="140">
        <v>0</v>
      </c>
      <c r="J695" s="139">
        <v>0</v>
      </c>
      <c r="K695" s="139">
        <v>0</v>
      </c>
    </row>
    <row r="696" spans="1:28" ht="99.75" x14ac:dyDescent="0.2">
      <c r="A696" s="149" t="s">
        <v>255</v>
      </c>
      <c r="B696" s="149" t="s">
        <v>1473</v>
      </c>
      <c r="C696" s="145" t="s">
        <v>1281</v>
      </c>
      <c r="D696" s="3">
        <v>2.802</v>
      </c>
      <c r="E696" s="141">
        <v>4183.5</v>
      </c>
      <c r="F696" s="141">
        <v>0</v>
      </c>
      <c r="G696" s="140">
        <v>11722</v>
      </c>
      <c r="H696" s="140">
        <v>0</v>
      </c>
      <c r="I696" s="142">
        <v>0</v>
      </c>
      <c r="J696" s="141">
        <v>0</v>
      </c>
      <c r="K696" s="141">
        <v>0</v>
      </c>
      <c r="T696">
        <v>11722</v>
      </c>
      <c r="U696">
        <v>11722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</row>
    <row r="697" spans="1:28" ht="14.25" x14ac:dyDescent="0.2">
      <c r="C697" s="35" t="s">
        <v>88</v>
      </c>
      <c r="D697" s="3"/>
      <c r="E697" s="139">
        <v>0</v>
      </c>
      <c r="F697" s="139">
        <v>0</v>
      </c>
      <c r="G697" s="140"/>
      <c r="H697" s="140"/>
      <c r="I697" s="140">
        <v>0</v>
      </c>
      <c r="J697" s="139">
        <v>0</v>
      </c>
      <c r="K697" s="139">
        <v>0</v>
      </c>
    </row>
    <row r="698" spans="1:28" x14ac:dyDescent="0.2">
      <c r="C698" s="36" t="s">
        <v>1474</v>
      </c>
    </row>
    <row r="699" spans="1:28" ht="119.25" x14ac:dyDescent="0.2">
      <c r="A699" s="149" t="s">
        <v>122</v>
      </c>
      <c r="B699" s="149" t="s">
        <v>1475</v>
      </c>
      <c r="C699" s="145" t="s">
        <v>1114</v>
      </c>
      <c r="D699" s="3">
        <v>5.3999999999999999E-2</v>
      </c>
      <c r="E699" s="141">
        <v>6802.24</v>
      </c>
      <c r="F699" s="141">
        <v>6585.95</v>
      </c>
      <c r="G699" s="140">
        <v>368</v>
      </c>
      <c r="H699" s="140">
        <v>11</v>
      </c>
      <c r="I699" s="142">
        <v>356</v>
      </c>
      <c r="J699" s="141">
        <v>24.84</v>
      </c>
      <c r="K699" s="141">
        <v>1.3413599999999999</v>
      </c>
      <c r="T699">
        <v>428</v>
      </c>
      <c r="U699">
        <v>1</v>
      </c>
      <c r="V699">
        <v>11</v>
      </c>
      <c r="W699">
        <v>356</v>
      </c>
      <c r="X699">
        <v>18</v>
      </c>
      <c r="Y699">
        <v>1.3413599999999999</v>
      </c>
      <c r="Z699">
        <v>1.3905000000000001</v>
      </c>
      <c r="AA699">
        <v>37</v>
      </c>
      <c r="AB699">
        <v>23</v>
      </c>
    </row>
    <row r="700" spans="1:28" ht="14.25" x14ac:dyDescent="0.2">
      <c r="C700" s="35" t="s">
        <v>208</v>
      </c>
      <c r="D700" s="3"/>
      <c r="E700" s="139">
        <v>199.21</v>
      </c>
      <c r="F700" s="139">
        <v>334.59</v>
      </c>
      <c r="G700" s="140"/>
      <c r="H700" s="140"/>
      <c r="I700" s="140">
        <v>18</v>
      </c>
      <c r="J700" s="139">
        <v>25.75</v>
      </c>
      <c r="K700" s="139">
        <v>1.3905000000000001</v>
      </c>
    </row>
    <row r="701" spans="1:28" x14ac:dyDescent="0.2">
      <c r="C701" s="36" t="s">
        <v>1282</v>
      </c>
    </row>
    <row r="702" spans="1:28" x14ac:dyDescent="0.2">
      <c r="C702" s="20" t="s">
        <v>89</v>
      </c>
      <c r="D702" s="37">
        <v>142</v>
      </c>
      <c r="E702" s="144">
        <v>682.19640000000004</v>
      </c>
      <c r="F702" s="37" t="s">
        <v>1266</v>
      </c>
      <c r="G702" s="143">
        <v>37</v>
      </c>
      <c r="H702" s="37" t="s">
        <v>1267</v>
      </c>
      <c r="I702" s="37"/>
      <c r="J702" s="37"/>
      <c r="K702" s="37"/>
    </row>
    <row r="703" spans="1:28" x14ac:dyDescent="0.2">
      <c r="C703" s="20" t="s">
        <v>92</v>
      </c>
      <c r="D703" s="37">
        <v>95</v>
      </c>
      <c r="E703" s="144">
        <v>431.04349999999999</v>
      </c>
      <c r="F703" s="37" t="s">
        <v>1268</v>
      </c>
      <c r="G703" s="143">
        <v>23</v>
      </c>
      <c r="H703" s="37" t="s">
        <v>1269</v>
      </c>
      <c r="I703" s="37"/>
      <c r="J703" s="37"/>
      <c r="K703" s="37"/>
    </row>
    <row r="704" spans="1:28" x14ac:dyDescent="0.2">
      <c r="C704" s="20" t="s">
        <v>95</v>
      </c>
      <c r="D704" s="37"/>
      <c r="E704" s="144">
        <v>7915.4799000000003</v>
      </c>
      <c r="F704" s="37"/>
      <c r="G704" s="143">
        <v>428</v>
      </c>
      <c r="H704" s="37"/>
      <c r="I704" s="37"/>
      <c r="J704" s="37"/>
      <c r="K704" s="37"/>
    </row>
    <row r="705" spans="1:28" ht="99.75" x14ac:dyDescent="0.2">
      <c r="A705" s="149" t="s">
        <v>256</v>
      </c>
      <c r="B705" s="149" t="s">
        <v>1476</v>
      </c>
      <c r="C705" s="145" t="s">
        <v>1270</v>
      </c>
      <c r="D705" s="3">
        <v>6.8419999999999996</v>
      </c>
      <c r="E705" s="141">
        <v>185.49</v>
      </c>
      <c r="F705" s="141">
        <v>0</v>
      </c>
      <c r="G705" s="140">
        <v>1269</v>
      </c>
      <c r="H705" s="140">
        <v>0</v>
      </c>
      <c r="I705" s="142">
        <v>0</v>
      </c>
      <c r="J705" s="141">
        <v>0</v>
      </c>
      <c r="K705" s="141">
        <v>0</v>
      </c>
      <c r="T705">
        <v>1269</v>
      </c>
      <c r="U705">
        <v>1269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</row>
    <row r="706" spans="1:28" ht="14.25" x14ac:dyDescent="0.2">
      <c r="C706" s="35" t="s">
        <v>88</v>
      </c>
      <c r="D706" s="3"/>
      <c r="E706" s="139">
        <v>0</v>
      </c>
      <c r="F706" s="139">
        <v>0</v>
      </c>
      <c r="G706" s="140"/>
      <c r="H706" s="140"/>
      <c r="I706" s="140">
        <v>0</v>
      </c>
      <c r="J706" s="139">
        <v>0</v>
      </c>
      <c r="K706" s="139">
        <v>0</v>
      </c>
    </row>
    <row r="707" spans="1:28" x14ac:dyDescent="0.2">
      <c r="C707" s="36" t="s">
        <v>1477</v>
      </c>
    </row>
    <row r="708" spans="1:28" ht="99.75" x14ac:dyDescent="0.2">
      <c r="A708" s="149" t="s">
        <v>257</v>
      </c>
      <c r="B708" s="149" t="s">
        <v>1478</v>
      </c>
      <c r="C708" s="145" t="s">
        <v>1113</v>
      </c>
      <c r="D708" s="3">
        <v>2.7E-2</v>
      </c>
      <c r="E708" s="141">
        <v>4077.8</v>
      </c>
      <c r="F708" s="141">
        <v>1957.58</v>
      </c>
      <c r="G708" s="140">
        <v>111</v>
      </c>
      <c r="H708" s="140">
        <v>33</v>
      </c>
      <c r="I708" s="142">
        <v>53</v>
      </c>
      <c r="J708" s="141">
        <v>155.25</v>
      </c>
      <c r="K708" s="141">
        <v>4.1917499999999999</v>
      </c>
      <c r="T708">
        <v>173</v>
      </c>
      <c r="U708">
        <v>25</v>
      </c>
      <c r="V708">
        <v>33</v>
      </c>
      <c r="W708">
        <v>53</v>
      </c>
      <c r="X708">
        <v>8</v>
      </c>
      <c r="Y708">
        <v>4.1917499999999999</v>
      </c>
      <c r="Z708">
        <v>0.61155000000000004</v>
      </c>
      <c r="AA708">
        <v>39</v>
      </c>
      <c r="AB708">
        <v>23</v>
      </c>
    </row>
    <row r="709" spans="1:28" ht="14.25" x14ac:dyDescent="0.2">
      <c r="C709" s="35" t="s">
        <v>208</v>
      </c>
      <c r="D709" s="3"/>
      <c r="E709" s="139">
        <v>1210.95</v>
      </c>
      <c r="F709" s="139">
        <v>305.49</v>
      </c>
      <c r="G709" s="140"/>
      <c r="H709" s="140"/>
      <c r="I709" s="140">
        <v>8</v>
      </c>
      <c r="J709" s="139">
        <v>22.650000000000002</v>
      </c>
      <c r="K709" s="139">
        <v>0.61155000000000004</v>
      </c>
    </row>
    <row r="710" spans="1:28" x14ac:dyDescent="0.2">
      <c r="C710" s="36" t="s">
        <v>1274</v>
      </c>
    </row>
    <row r="711" spans="1:28" x14ac:dyDescent="0.2">
      <c r="C711" s="20" t="s">
        <v>89</v>
      </c>
      <c r="D711" s="37">
        <v>105</v>
      </c>
      <c r="E711" s="144">
        <v>1433.0358000000001</v>
      </c>
      <c r="F711" s="37" t="s">
        <v>1130</v>
      </c>
      <c r="G711" s="143">
        <v>39</v>
      </c>
      <c r="H711" s="37" t="s">
        <v>1131</v>
      </c>
      <c r="I711" s="37"/>
      <c r="J711" s="37"/>
      <c r="K711" s="37"/>
    </row>
    <row r="712" spans="1:28" x14ac:dyDescent="0.2">
      <c r="C712" s="20" t="s">
        <v>92</v>
      </c>
      <c r="D712" s="37">
        <v>65</v>
      </c>
      <c r="E712" s="144">
        <v>837.83309999999994</v>
      </c>
      <c r="F712" s="37" t="s">
        <v>1205</v>
      </c>
      <c r="G712" s="143">
        <v>23</v>
      </c>
      <c r="H712" s="37" t="s">
        <v>1206</v>
      </c>
      <c r="I712" s="37"/>
      <c r="J712" s="37"/>
      <c r="K712" s="37"/>
    </row>
    <row r="713" spans="1:28" x14ac:dyDescent="0.2">
      <c r="C713" s="20" t="s">
        <v>95</v>
      </c>
      <c r="D713" s="37"/>
      <c r="E713" s="144">
        <v>6348.6689000000006</v>
      </c>
      <c r="F713" s="37"/>
      <c r="G713" s="143">
        <v>173</v>
      </c>
      <c r="H713" s="37"/>
      <c r="I713" s="37"/>
      <c r="J713" s="37"/>
      <c r="K713" s="37"/>
    </row>
    <row r="714" spans="1:28" ht="14.25" x14ac:dyDescent="0.2">
      <c r="A714" s="149" t="s">
        <v>1479</v>
      </c>
      <c r="B714" s="149" t="s">
        <v>1146</v>
      </c>
      <c r="C714" s="145" t="s">
        <v>1173</v>
      </c>
      <c r="D714" s="3">
        <v>2.754</v>
      </c>
      <c r="E714" s="141">
        <v>0</v>
      </c>
      <c r="F714" s="141">
        <v>0</v>
      </c>
      <c r="G714" s="140">
        <v>0</v>
      </c>
      <c r="H714" s="140">
        <v>0</v>
      </c>
      <c r="I714" s="142">
        <v>0</v>
      </c>
      <c r="J714" s="141">
        <v>0</v>
      </c>
      <c r="K714" s="141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</row>
    <row r="715" spans="1:28" ht="14.25" x14ac:dyDescent="0.2">
      <c r="C715" s="35" t="s">
        <v>88</v>
      </c>
      <c r="D715" s="3"/>
      <c r="E715" s="139">
        <v>0</v>
      </c>
      <c r="F715" s="139">
        <v>0</v>
      </c>
      <c r="G715" s="140"/>
      <c r="H715" s="140"/>
      <c r="I715" s="140">
        <v>0</v>
      </c>
      <c r="J715" s="139">
        <v>0</v>
      </c>
      <c r="K715" s="139">
        <v>0</v>
      </c>
    </row>
    <row r="716" spans="1:28" ht="99.75" x14ac:dyDescent="0.2">
      <c r="A716" s="149" t="s">
        <v>258</v>
      </c>
      <c r="B716" s="149" t="s">
        <v>1480</v>
      </c>
      <c r="C716" s="145" t="s">
        <v>1283</v>
      </c>
      <c r="D716" s="3">
        <v>2.754</v>
      </c>
      <c r="E716" s="141">
        <v>821.79</v>
      </c>
      <c r="F716" s="141">
        <v>0</v>
      </c>
      <c r="G716" s="140">
        <v>2263</v>
      </c>
      <c r="H716" s="140">
        <v>0</v>
      </c>
      <c r="I716" s="142">
        <v>0</v>
      </c>
      <c r="J716" s="141">
        <v>0</v>
      </c>
      <c r="K716" s="141">
        <v>0</v>
      </c>
      <c r="T716">
        <v>2263</v>
      </c>
      <c r="U716">
        <v>2263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</row>
    <row r="717" spans="1:28" ht="14.25" x14ac:dyDescent="0.2">
      <c r="C717" s="35" t="s">
        <v>88</v>
      </c>
      <c r="D717" s="3"/>
      <c r="E717" s="139">
        <v>0</v>
      </c>
      <c r="F717" s="139">
        <v>0</v>
      </c>
      <c r="G717" s="140"/>
      <c r="H717" s="140"/>
      <c r="I717" s="140">
        <v>0</v>
      </c>
      <c r="J717" s="139">
        <v>0</v>
      </c>
      <c r="K717" s="139">
        <v>0</v>
      </c>
    </row>
    <row r="718" spans="1:28" ht="105" x14ac:dyDescent="0.2">
      <c r="A718" s="149" t="s">
        <v>259</v>
      </c>
      <c r="B718" s="149" t="s">
        <v>1428</v>
      </c>
      <c r="C718" s="145" t="s">
        <v>1109</v>
      </c>
      <c r="D718" s="3">
        <v>0.221</v>
      </c>
      <c r="E718" s="141">
        <v>441.87</v>
      </c>
      <c r="F718" s="141">
        <v>38.07</v>
      </c>
      <c r="G718" s="140">
        <v>97</v>
      </c>
      <c r="H718" s="140">
        <v>26</v>
      </c>
      <c r="I718" s="142">
        <v>8</v>
      </c>
      <c r="J718" s="141">
        <v>13.339999999999998</v>
      </c>
      <c r="K718" s="141">
        <v>2.9481399999999995</v>
      </c>
      <c r="T718">
        <v>138</v>
      </c>
      <c r="U718">
        <v>63</v>
      </c>
      <c r="V718">
        <v>26</v>
      </c>
      <c r="W718">
        <v>8</v>
      </c>
      <c r="X718">
        <v>1</v>
      </c>
      <c r="Y718">
        <v>2.9481399999999995</v>
      </c>
      <c r="Z718">
        <v>9.6687499999999996E-2</v>
      </c>
      <c r="AA718">
        <v>26</v>
      </c>
      <c r="AB718">
        <v>15</v>
      </c>
    </row>
    <row r="719" spans="1:28" ht="14.25" x14ac:dyDescent="0.2">
      <c r="C719" s="35" t="s">
        <v>99</v>
      </c>
      <c r="D719" s="3"/>
      <c r="E719" s="139">
        <v>118.2</v>
      </c>
      <c r="F719" s="139">
        <v>5.44</v>
      </c>
      <c r="G719" s="140"/>
      <c r="H719" s="140"/>
      <c r="I719" s="140">
        <v>1</v>
      </c>
      <c r="J719" s="139">
        <v>0.4375</v>
      </c>
      <c r="K719" s="139">
        <v>9.6687499999999996E-2</v>
      </c>
    </row>
    <row r="720" spans="1:28" x14ac:dyDescent="0.2">
      <c r="C720" s="36" t="s">
        <v>1284</v>
      </c>
    </row>
    <row r="721" spans="1:28" x14ac:dyDescent="0.2">
      <c r="C721" s="20" t="s">
        <v>89</v>
      </c>
      <c r="D721" s="37">
        <v>105</v>
      </c>
      <c r="E721" s="144">
        <v>116.8398</v>
      </c>
      <c r="F721" s="37" t="s">
        <v>1130</v>
      </c>
      <c r="G721" s="143">
        <v>26</v>
      </c>
      <c r="H721" s="37" t="s">
        <v>1131</v>
      </c>
      <c r="I721" s="37"/>
      <c r="J721" s="37"/>
      <c r="K721" s="37"/>
    </row>
    <row r="722" spans="1:28" x14ac:dyDescent="0.2">
      <c r="C722" s="20" t="s">
        <v>92</v>
      </c>
      <c r="D722" s="37">
        <v>65</v>
      </c>
      <c r="E722" s="144">
        <v>68.311099999999996</v>
      </c>
      <c r="F722" s="37" t="s">
        <v>1205</v>
      </c>
      <c r="G722" s="143">
        <v>15</v>
      </c>
      <c r="H722" s="37" t="s">
        <v>1206</v>
      </c>
      <c r="I722" s="37"/>
      <c r="J722" s="37"/>
      <c r="K722" s="37"/>
    </row>
    <row r="723" spans="1:28" x14ac:dyDescent="0.2">
      <c r="C723" s="20" t="s">
        <v>95</v>
      </c>
      <c r="D723" s="37"/>
      <c r="E723" s="144">
        <v>627.02089999999998</v>
      </c>
      <c r="F723" s="37"/>
      <c r="G723" s="143">
        <v>138</v>
      </c>
      <c r="H723" s="37"/>
      <c r="I723" s="37"/>
      <c r="J723" s="37"/>
      <c r="K723" s="37"/>
    </row>
    <row r="724" spans="1:28" ht="14.25" x14ac:dyDescent="0.2">
      <c r="A724" s="149" t="s">
        <v>260</v>
      </c>
      <c r="B724" s="149" t="s">
        <v>1146</v>
      </c>
      <c r="C724" s="145" t="s">
        <v>1228</v>
      </c>
      <c r="D724" s="3">
        <v>0.221</v>
      </c>
      <c r="E724" s="141">
        <v>0</v>
      </c>
      <c r="F724" s="141">
        <v>0</v>
      </c>
      <c r="G724" s="140">
        <v>0</v>
      </c>
      <c r="H724" s="140">
        <v>0</v>
      </c>
      <c r="I724" s="142">
        <v>0</v>
      </c>
      <c r="J724" s="141">
        <v>0</v>
      </c>
      <c r="K724" s="141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</row>
    <row r="725" spans="1:28" ht="14.25" x14ac:dyDescent="0.2">
      <c r="C725" s="35" t="s">
        <v>99</v>
      </c>
      <c r="D725" s="3"/>
      <c r="E725" s="139">
        <v>0</v>
      </c>
      <c r="F725" s="139">
        <v>0</v>
      </c>
      <c r="G725" s="140"/>
      <c r="H725" s="140"/>
      <c r="I725" s="140">
        <v>0</v>
      </c>
      <c r="J725" s="139">
        <v>0</v>
      </c>
      <c r="K725" s="139">
        <v>0</v>
      </c>
    </row>
    <row r="726" spans="1:28" ht="99.75" x14ac:dyDescent="0.2">
      <c r="A726" s="149" t="s">
        <v>261</v>
      </c>
      <c r="B726" s="149" t="s">
        <v>1430</v>
      </c>
      <c r="C726" s="145" t="s">
        <v>1229</v>
      </c>
      <c r="D726" s="3">
        <v>0.221</v>
      </c>
      <c r="E726" s="141">
        <v>7200</v>
      </c>
      <c r="F726" s="141">
        <v>0</v>
      </c>
      <c r="G726" s="140">
        <v>1591</v>
      </c>
      <c r="H726" s="140">
        <v>0</v>
      </c>
      <c r="I726" s="142">
        <v>0</v>
      </c>
      <c r="J726" s="141">
        <v>0</v>
      </c>
      <c r="K726" s="141">
        <v>0</v>
      </c>
      <c r="T726">
        <v>1591</v>
      </c>
      <c r="U726">
        <v>1591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</row>
    <row r="727" spans="1:28" ht="14.25" x14ac:dyDescent="0.2">
      <c r="C727" s="35" t="s">
        <v>99</v>
      </c>
      <c r="D727" s="3"/>
      <c r="E727" s="139">
        <v>0</v>
      </c>
      <c r="F727" s="139">
        <v>0</v>
      </c>
      <c r="G727" s="140"/>
      <c r="H727" s="140"/>
      <c r="I727" s="140">
        <v>0</v>
      </c>
      <c r="J727" s="139">
        <v>0</v>
      </c>
      <c r="K727" s="139">
        <v>0</v>
      </c>
    </row>
    <row r="729" spans="1:28" ht="15" x14ac:dyDescent="0.25">
      <c r="A729" s="4"/>
      <c r="B729" s="4"/>
      <c r="C729" s="187" t="s">
        <v>1286</v>
      </c>
      <c r="D729" s="187"/>
      <c r="E729" s="187"/>
      <c r="F729" s="187"/>
      <c r="G729" s="136">
        <f>IF(SUM(T678:T728)=0, "-", SUM(T678:T728))</f>
        <v>18144</v>
      </c>
      <c r="H729" s="136">
        <f>IF(SUM(V678:V728)=0, "-", SUM(V678:V728))</f>
        <v>149</v>
      </c>
      <c r="I729" s="138">
        <f>IF(SUM(W678:W728)=0, "-", SUM(W678:W728))</f>
        <v>458</v>
      </c>
      <c r="J729" s="136"/>
      <c r="K729" s="137">
        <f>IF(SUM(Y678:Y728)=0, "-", SUM(Y678:Y728))</f>
        <v>17.411574999999999</v>
      </c>
    </row>
    <row r="730" spans="1:28" ht="15" x14ac:dyDescent="0.25">
      <c r="A730" s="4"/>
      <c r="B730" s="4"/>
      <c r="C730" s="4"/>
      <c r="D730" s="4"/>
      <c r="E730" s="4"/>
      <c r="F730" s="4"/>
      <c r="G730" s="136"/>
      <c r="H730" s="136"/>
      <c r="I730" s="136">
        <f>IF(SUM(X678:X728)=0, "-", SUM(X678:X728))</f>
        <v>33</v>
      </c>
      <c r="J730" s="136"/>
      <c r="K730" s="135">
        <f>IF(SUM(Z678:Z728)=0, "-", SUM(Z678:Z728))</f>
        <v>2.5955374999999998</v>
      </c>
    </row>
    <row r="733" spans="1:28" ht="14.25" x14ac:dyDescent="0.2">
      <c r="C733" s="183" t="s">
        <v>127</v>
      </c>
      <c r="D733" s="183"/>
      <c r="E733" s="183"/>
      <c r="F733" s="183"/>
      <c r="G733" s="183"/>
      <c r="H733" s="172">
        <v>149</v>
      </c>
      <c r="I733" s="172"/>
    </row>
    <row r="734" spans="1:28" ht="14.25" x14ac:dyDescent="0.2">
      <c r="C734" s="183" t="s">
        <v>128</v>
      </c>
      <c r="D734" s="183"/>
      <c r="E734" s="183"/>
      <c r="F734" s="183"/>
      <c r="G734" s="183"/>
      <c r="H734" s="172">
        <v>458</v>
      </c>
      <c r="I734" s="172"/>
    </row>
    <row r="735" spans="1:28" ht="14.25" x14ac:dyDescent="0.2">
      <c r="C735" s="183" t="s">
        <v>129</v>
      </c>
      <c r="D735" s="183"/>
      <c r="E735" s="183"/>
      <c r="F735" s="183"/>
      <c r="G735" s="183"/>
      <c r="H735" s="172">
        <v>17223</v>
      </c>
      <c r="I735" s="172"/>
    </row>
    <row r="736" spans="1:28" ht="14.25" x14ac:dyDescent="0.2">
      <c r="C736" s="183" t="s">
        <v>130</v>
      </c>
      <c r="D736" s="183"/>
      <c r="E736" s="183"/>
      <c r="F736" s="183"/>
      <c r="G736" s="183"/>
      <c r="H736" s="172">
        <v>198</v>
      </c>
      <c r="I736" s="172"/>
    </row>
    <row r="737" spans="1:28" ht="14.25" x14ac:dyDescent="0.2">
      <c r="C737" s="183" t="s">
        <v>131</v>
      </c>
      <c r="D737" s="183"/>
      <c r="E737" s="183"/>
      <c r="F737" s="183"/>
      <c r="G737" s="183"/>
      <c r="H737" s="172">
        <v>116</v>
      </c>
      <c r="I737" s="172"/>
    </row>
    <row r="738" spans="1:28" ht="14.25" x14ac:dyDescent="0.2">
      <c r="C738" s="183" t="s">
        <v>134</v>
      </c>
      <c r="D738" s="183"/>
      <c r="E738" s="183"/>
      <c r="F738" s="183"/>
      <c r="G738" s="183"/>
      <c r="H738" s="172">
        <v>18144</v>
      </c>
      <c r="I738" s="172"/>
    </row>
    <row r="740" spans="1:28" ht="16.5" x14ac:dyDescent="0.25">
      <c r="A740" s="186" t="s">
        <v>1287</v>
      </c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</row>
    <row r="741" spans="1:28" ht="99.75" x14ac:dyDescent="0.2">
      <c r="A741" s="149" t="s">
        <v>262</v>
      </c>
      <c r="B741" s="149" t="s">
        <v>1459</v>
      </c>
      <c r="C741" s="145" t="s">
        <v>1460</v>
      </c>
      <c r="D741" s="3">
        <v>0.81</v>
      </c>
      <c r="E741" s="141">
        <v>242.08</v>
      </c>
      <c r="F741" s="141">
        <v>131.75</v>
      </c>
      <c r="G741" s="140">
        <v>196</v>
      </c>
      <c r="H741" s="140">
        <v>89</v>
      </c>
      <c r="I741" s="142">
        <v>107</v>
      </c>
      <c r="J741" s="141">
        <v>12.3</v>
      </c>
      <c r="K741" s="141">
        <v>9.963000000000001</v>
      </c>
      <c r="T741">
        <v>337</v>
      </c>
      <c r="U741">
        <v>0</v>
      </c>
      <c r="V741">
        <v>89</v>
      </c>
      <c r="W741">
        <v>107</v>
      </c>
      <c r="X741">
        <v>0</v>
      </c>
      <c r="Y741">
        <v>9.963000000000001</v>
      </c>
      <c r="Z741">
        <v>0</v>
      </c>
      <c r="AA741">
        <v>88</v>
      </c>
      <c r="AB741">
        <v>53</v>
      </c>
    </row>
    <row r="742" spans="1:28" ht="14.25" x14ac:dyDescent="0.2">
      <c r="C742" s="35" t="s">
        <v>88</v>
      </c>
      <c r="D742" s="3"/>
      <c r="E742" s="139">
        <v>110.33</v>
      </c>
      <c r="F742" s="139">
        <v>0</v>
      </c>
      <c r="G742" s="140"/>
      <c r="H742" s="140"/>
      <c r="I742" s="140">
        <v>0</v>
      </c>
      <c r="J742" s="139">
        <v>0</v>
      </c>
      <c r="K742" s="139">
        <v>0</v>
      </c>
    </row>
    <row r="743" spans="1:28" ht="51" x14ac:dyDescent="0.2">
      <c r="C743" s="36" t="s">
        <v>1461</v>
      </c>
    </row>
    <row r="744" spans="1:28" x14ac:dyDescent="0.2">
      <c r="C744" s="20" t="s">
        <v>89</v>
      </c>
      <c r="D744" s="37">
        <v>110</v>
      </c>
      <c r="E744" s="144">
        <v>109.22669999999999</v>
      </c>
      <c r="F744" s="37" t="s">
        <v>90</v>
      </c>
      <c r="G744" s="143">
        <v>88</v>
      </c>
      <c r="H744" s="37" t="s">
        <v>91</v>
      </c>
      <c r="I744" s="37"/>
      <c r="J744" s="37"/>
      <c r="K744" s="37"/>
    </row>
    <row r="745" spans="1:28" x14ac:dyDescent="0.2">
      <c r="C745" s="20" t="s">
        <v>92</v>
      </c>
      <c r="D745" s="37">
        <v>70</v>
      </c>
      <c r="E745" s="144">
        <v>65.646349999999998</v>
      </c>
      <c r="F745" s="37" t="s">
        <v>93</v>
      </c>
      <c r="G745" s="143">
        <v>53</v>
      </c>
      <c r="H745" s="37" t="s">
        <v>94</v>
      </c>
      <c r="I745" s="37"/>
      <c r="J745" s="37"/>
      <c r="K745" s="37"/>
    </row>
    <row r="746" spans="1:28" x14ac:dyDescent="0.2">
      <c r="C746" s="20" t="s">
        <v>95</v>
      </c>
      <c r="D746" s="37"/>
      <c r="E746" s="144">
        <v>416.95304999999996</v>
      </c>
      <c r="F746" s="37"/>
      <c r="G746" s="143">
        <v>337</v>
      </c>
      <c r="H746" s="37"/>
      <c r="I746" s="37"/>
      <c r="J746" s="37"/>
      <c r="K746" s="37"/>
    </row>
    <row r="747" spans="1:28" ht="99.75" x14ac:dyDescent="0.2">
      <c r="A747" s="149" t="s">
        <v>263</v>
      </c>
      <c r="B747" s="149" t="s">
        <v>1462</v>
      </c>
      <c r="C747" s="145" t="s">
        <v>1463</v>
      </c>
      <c r="D747" s="3">
        <v>4.5999999999999999E-2</v>
      </c>
      <c r="E747" s="141">
        <v>1110.76</v>
      </c>
      <c r="F747" s="141">
        <v>26.67</v>
      </c>
      <c r="G747" s="140">
        <v>51</v>
      </c>
      <c r="H747" s="140">
        <v>23</v>
      </c>
      <c r="I747" s="142">
        <v>1</v>
      </c>
      <c r="J747" s="141">
        <v>60.8</v>
      </c>
      <c r="K747" s="141">
        <v>2.7967999999999997</v>
      </c>
      <c r="T747">
        <v>88</v>
      </c>
      <c r="U747">
        <v>27</v>
      </c>
      <c r="V747">
        <v>23</v>
      </c>
      <c r="W747">
        <v>1</v>
      </c>
      <c r="X747">
        <v>0</v>
      </c>
      <c r="Y747">
        <v>2.7967999999999997</v>
      </c>
      <c r="Z747">
        <v>1.84E-2</v>
      </c>
      <c r="AA747">
        <v>23</v>
      </c>
      <c r="AB747">
        <v>14</v>
      </c>
    </row>
    <row r="748" spans="1:28" ht="14.25" x14ac:dyDescent="0.2">
      <c r="C748" s="35" t="s">
        <v>88</v>
      </c>
      <c r="D748" s="3"/>
      <c r="E748" s="139">
        <v>491.87</v>
      </c>
      <c r="F748" s="139">
        <v>4.6399999999999997</v>
      </c>
      <c r="G748" s="140"/>
      <c r="H748" s="140"/>
      <c r="I748" s="140">
        <v>0</v>
      </c>
      <c r="J748" s="139">
        <v>0.4</v>
      </c>
      <c r="K748" s="139">
        <v>1.84E-2</v>
      </c>
    </row>
    <row r="749" spans="1:28" x14ac:dyDescent="0.2">
      <c r="C749" s="36" t="s">
        <v>1288</v>
      </c>
    </row>
    <row r="750" spans="1:28" x14ac:dyDescent="0.2">
      <c r="C750" s="20" t="s">
        <v>89</v>
      </c>
      <c r="D750" s="37">
        <v>110</v>
      </c>
      <c r="E750" s="144">
        <v>491.54489999999998</v>
      </c>
      <c r="F750" s="37" t="s">
        <v>90</v>
      </c>
      <c r="G750" s="143">
        <v>23</v>
      </c>
      <c r="H750" s="37" t="s">
        <v>91</v>
      </c>
      <c r="I750" s="37"/>
      <c r="J750" s="37"/>
      <c r="K750" s="37"/>
    </row>
    <row r="751" spans="1:28" x14ac:dyDescent="0.2">
      <c r="C751" s="20" t="s">
        <v>92</v>
      </c>
      <c r="D751" s="37">
        <v>70</v>
      </c>
      <c r="E751" s="144">
        <v>295.42345</v>
      </c>
      <c r="F751" s="37" t="s">
        <v>93</v>
      </c>
      <c r="G751" s="143">
        <v>14</v>
      </c>
      <c r="H751" s="37" t="s">
        <v>94</v>
      </c>
      <c r="I751" s="37"/>
      <c r="J751" s="37"/>
      <c r="K751" s="37"/>
    </row>
    <row r="752" spans="1:28" x14ac:dyDescent="0.2">
      <c r="C752" s="20" t="s">
        <v>95</v>
      </c>
      <c r="D752" s="37"/>
      <c r="E752" s="144">
        <v>1897.7283499999999</v>
      </c>
      <c r="F752" s="37"/>
      <c r="G752" s="143">
        <v>88</v>
      </c>
      <c r="H752" s="37"/>
      <c r="I752" s="37"/>
      <c r="J752" s="37"/>
      <c r="K752" s="37"/>
    </row>
    <row r="753" spans="1:28" ht="14.25" x14ac:dyDescent="0.2">
      <c r="A753" s="149" t="s">
        <v>1464</v>
      </c>
      <c r="B753" s="149" t="s">
        <v>1146</v>
      </c>
      <c r="C753" s="145" t="s">
        <v>1173</v>
      </c>
      <c r="D753" s="3">
        <v>4.7840000000000001E-2</v>
      </c>
      <c r="E753" s="141">
        <v>0</v>
      </c>
      <c r="F753" s="141">
        <v>0</v>
      </c>
      <c r="G753" s="140">
        <v>0</v>
      </c>
      <c r="H753" s="140">
        <v>0</v>
      </c>
      <c r="I753" s="142">
        <v>0</v>
      </c>
      <c r="J753" s="141">
        <v>0</v>
      </c>
      <c r="K753" s="141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</row>
    <row r="754" spans="1:28" ht="14.25" x14ac:dyDescent="0.2">
      <c r="C754" s="35" t="s">
        <v>88</v>
      </c>
      <c r="D754" s="3"/>
      <c r="E754" s="139">
        <v>0</v>
      </c>
      <c r="F754" s="139">
        <v>0</v>
      </c>
      <c r="G754" s="140"/>
      <c r="H754" s="140"/>
      <c r="I754" s="140">
        <v>0</v>
      </c>
      <c r="J754" s="139">
        <v>0</v>
      </c>
      <c r="K754" s="139">
        <v>0</v>
      </c>
    </row>
    <row r="755" spans="1:28" ht="99.75" x14ac:dyDescent="0.2">
      <c r="A755" s="149" t="s">
        <v>264</v>
      </c>
      <c r="B755" s="149" t="s">
        <v>1465</v>
      </c>
      <c r="C755" s="145" t="s">
        <v>1224</v>
      </c>
      <c r="D755" s="3">
        <v>4.8000000000000001E-2</v>
      </c>
      <c r="E755" s="141">
        <v>725.69</v>
      </c>
      <c r="F755" s="141">
        <v>0</v>
      </c>
      <c r="G755" s="140">
        <v>35</v>
      </c>
      <c r="H755" s="140">
        <v>0</v>
      </c>
      <c r="I755" s="142">
        <v>0</v>
      </c>
      <c r="J755" s="141">
        <v>0</v>
      </c>
      <c r="K755" s="141">
        <v>0</v>
      </c>
      <c r="T755">
        <v>35</v>
      </c>
      <c r="U755">
        <v>35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</row>
    <row r="756" spans="1:28" ht="14.25" x14ac:dyDescent="0.2">
      <c r="C756" s="35" t="s">
        <v>88</v>
      </c>
      <c r="D756" s="3"/>
      <c r="E756" s="139">
        <v>0</v>
      </c>
      <c r="F756" s="139">
        <v>0</v>
      </c>
      <c r="G756" s="140"/>
      <c r="H756" s="140"/>
      <c r="I756" s="140">
        <v>0</v>
      </c>
      <c r="J756" s="139">
        <v>0</v>
      </c>
      <c r="K756" s="139">
        <v>0</v>
      </c>
    </row>
    <row r="757" spans="1:28" ht="85.5" x14ac:dyDescent="0.2">
      <c r="A757" s="149" t="s">
        <v>265</v>
      </c>
      <c r="B757" s="149" t="s">
        <v>1466</v>
      </c>
      <c r="C757" s="145" t="s">
        <v>1289</v>
      </c>
      <c r="D757" s="3">
        <v>0.03</v>
      </c>
      <c r="E757" s="141">
        <v>2860.8</v>
      </c>
      <c r="F757" s="141">
        <v>63.11</v>
      </c>
      <c r="G757" s="140">
        <v>86</v>
      </c>
      <c r="H757" s="140">
        <v>43</v>
      </c>
      <c r="I757" s="142">
        <v>2</v>
      </c>
      <c r="J757" s="141">
        <v>165.88</v>
      </c>
      <c r="K757" s="141">
        <v>4.9763999999999999</v>
      </c>
      <c r="T757">
        <v>153</v>
      </c>
      <c r="U757">
        <v>41</v>
      </c>
      <c r="V757">
        <v>43</v>
      </c>
      <c r="W757">
        <v>2</v>
      </c>
      <c r="X757">
        <v>0</v>
      </c>
      <c r="Y757">
        <v>4.9763999999999999</v>
      </c>
      <c r="Z757">
        <v>2.01E-2</v>
      </c>
      <c r="AA757">
        <v>37</v>
      </c>
      <c r="AB757">
        <v>30</v>
      </c>
    </row>
    <row r="758" spans="1:28" ht="14.25" x14ac:dyDescent="0.2">
      <c r="C758" s="35" t="s">
        <v>99</v>
      </c>
      <c r="D758" s="3"/>
      <c r="E758" s="139">
        <v>1433.2</v>
      </c>
      <c r="F758" s="139">
        <v>7.05</v>
      </c>
      <c r="G758" s="140"/>
      <c r="H758" s="140"/>
      <c r="I758" s="140">
        <v>0</v>
      </c>
      <c r="J758" s="139">
        <v>0.67</v>
      </c>
      <c r="K758" s="139">
        <v>2.01E-2</v>
      </c>
    </row>
    <row r="759" spans="1:28" x14ac:dyDescent="0.2">
      <c r="C759" s="36" t="s">
        <v>1290</v>
      </c>
    </row>
    <row r="760" spans="1:28" x14ac:dyDescent="0.2">
      <c r="C760" s="20" t="s">
        <v>89</v>
      </c>
      <c r="D760" s="37">
        <v>86</v>
      </c>
      <c r="E760" s="144">
        <v>1238.615</v>
      </c>
      <c r="F760" s="37"/>
      <c r="G760" s="143">
        <v>37</v>
      </c>
      <c r="H760" s="37" t="s">
        <v>145</v>
      </c>
      <c r="I760" s="37"/>
      <c r="J760" s="37"/>
      <c r="K760" s="37"/>
    </row>
    <row r="761" spans="1:28" x14ac:dyDescent="0.2">
      <c r="C761" s="20" t="s">
        <v>92</v>
      </c>
      <c r="D761" s="37">
        <v>70</v>
      </c>
      <c r="E761" s="144">
        <v>1008.175</v>
      </c>
      <c r="F761" s="37"/>
      <c r="G761" s="143">
        <v>30</v>
      </c>
      <c r="H761" s="37" t="s">
        <v>146</v>
      </c>
      <c r="I761" s="37"/>
      <c r="J761" s="37"/>
      <c r="K761" s="37"/>
    </row>
    <row r="762" spans="1:28" x14ac:dyDescent="0.2">
      <c r="C762" s="20" t="s">
        <v>95</v>
      </c>
      <c r="D762" s="37"/>
      <c r="E762" s="144">
        <v>5107.59</v>
      </c>
      <c r="F762" s="37"/>
      <c r="G762" s="143">
        <v>153</v>
      </c>
      <c r="H762" s="37"/>
      <c r="I762" s="37"/>
      <c r="J762" s="37"/>
      <c r="K762" s="37"/>
    </row>
    <row r="763" spans="1:28" ht="14.25" x14ac:dyDescent="0.2">
      <c r="A763" s="149" t="s">
        <v>1467</v>
      </c>
      <c r="B763" s="149" t="s">
        <v>1146</v>
      </c>
      <c r="C763" s="145" t="s">
        <v>147</v>
      </c>
      <c r="D763" s="3">
        <v>3.1199999999999999E-2</v>
      </c>
      <c r="E763" s="141">
        <v>0</v>
      </c>
      <c r="F763" s="141">
        <v>0</v>
      </c>
      <c r="G763" s="140">
        <v>0</v>
      </c>
      <c r="H763" s="140">
        <v>0</v>
      </c>
      <c r="I763" s="142">
        <v>0</v>
      </c>
      <c r="J763" s="141">
        <v>0</v>
      </c>
      <c r="K763" s="141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</row>
    <row r="764" spans="1:28" ht="14.25" x14ac:dyDescent="0.2">
      <c r="C764" s="35" t="s">
        <v>99</v>
      </c>
      <c r="D764" s="3"/>
      <c r="E764" s="139">
        <v>0</v>
      </c>
      <c r="F764" s="139">
        <v>0</v>
      </c>
      <c r="G764" s="140"/>
      <c r="H764" s="140"/>
      <c r="I764" s="140">
        <v>0</v>
      </c>
      <c r="J764" s="139">
        <v>0</v>
      </c>
      <c r="K764" s="139">
        <v>0</v>
      </c>
    </row>
    <row r="765" spans="1:28" ht="99.75" x14ac:dyDescent="0.2">
      <c r="A765" s="149" t="s">
        <v>266</v>
      </c>
      <c r="B765" s="149" t="s">
        <v>1456</v>
      </c>
      <c r="C765" s="145" t="s">
        <v>1291</v>
      </c>
      <c r="D765" s="3">
        <v>3.1E-2</v>
      </c>
      <c r="E765" s="141">
        <v>8300</v>
      </c>
      <c r="F765" s="141">
        <v>0</v>
      </c>
      <c r="G765" s="140">
        <v>257</v>
      </c>
      <c r="H765" s="140">
        <v>0</v>
      </c>
      <c r="I765" s="142">
        <v>0</v>
      </c>
      <c r="J765" s="141">
        <v>0</v>
      </c>
      <c r="K765" s="141">
        <v>0</v>
      </c>
      <c r="T765">
        <v>257</v>
      </c>
      <c r="U765">
        <v>257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</row>
    <row r="766" spans="1:28" ht="14.25" x14ac:dyDescent="0.2">
      <c r="C766" s="35" t="s">
        <v>99</v>
      </c>
      <c r="D766" s="3"/>
      <c r="E766" s="139">
        <v>0</v>
      </c>
      <c r="F766" s="139">
        <v>0</v>
      </c>
      <c r="G766" s="140"/>
      <c r="H766" s="140"/>
      <c r="I766" s="140">
        <v>0</v>
      </c>
      <c r="J766" s="139">
        <v>0</v>
      </c>
      <c r="K766" s="139">
        <v>0</v>
      </c>
    </row>
    <row r="768" spans="1:28" ht="15" x14ac:dyDescent="0.25">
      <c r="A768" s="4"/>
      <c r="B768" s="4"/>
      <c r="C768" s="187" t="s">
        <v>1292</v>
      </c>
      <c r="D768" s="187"/>
      <c r="E768" s="187"/>
      <c r="F768" s="187"/>
      <c r="G768" s="136">
        <f>IF(SUM(T740:T767)=0, "-", SUM(T740:T767))</f>
        <v>870</v>
      </c>
      <c r="H768" s="136">
        <f>IF(SUM(V740:V767)=0, "-", SUM(V740:V767))</f>
        <v>155</v>
      </c>
      <c r="I768" s="138">
        <f>IF(SUM(W740:W767)=0, "-", SUM(W740:W767))</f>
        <v>110</v>
      </c>
      <c r="J768" s="136"/>
      <c r="K768" s="137">
        <f>IF(SUM(Y740:Y767)=0, "-", SUM(Y740:Y767))</f>
        <v>17.7362</v>
      </c>
    </row>
    <row r="769" spans="1:28" ht="15" x14ac:dyDescent="0.25">
      <c r="A769" s="4"/>
      <c r="B769" s="4"/>
      <c r="C769" s="4"/>
      <c r="D769" s="4"/>
      <c r="E769" s="4"/>
      <c r="F769" s="4"/>
      <c r="G769" s="136"/>
      <c r="H769" s="136"/>
      <c r="I769" s="136" t="str">
        <f>IF(SUM(X740:X767)=0, "-", SUM(X740:X767))</f>
        <v>-</v>
      </c>
      <c r="J769" s="136"/>
      <c r="K769" s="135">
        <f>IF(SUM(Z740:Z767)=0, "-", SUM(Z740:Z767))</f>
        <v>3.85E-2</v>
      </c>
    </row>
    <row r="772" spans="1:28" ht="14.25" x14ac:dyDescent="0.2">
      <c r="C772" s="183" t="s">
        <v>127</v>
      </c>
      <c r="D772" s="183"/>
      <c r="E772" s="183"/>
      <c r="F772" s="183"/>
      <c r="G772" s="183"/>
      <c r="H772" s="172">
        <v>155</v>
      </c>
      <c r="I772" s="172"/>
    </row>
    <row r="773" spans="1:28" ht="14.25" x14ac:dyDescent="0.2">
      <c r="C773" s="183" t="s">
        <v>128</v>
      </c>
      <c r="D773" s="183"/>
      <c r="E773" s="183"/>
      <c r="F773" s="183"/>
      <c r="G773" s="183"/>
      <c r="H773" s="172">
        <v>110</v>
      </c>
      <c r="I773" s="172"/>
    </row>
    <row r="774" spans="1:28" ht="14.25" x14ac:dyDescent="0.2">
      <c r="C774" s="183" t="s">
        <v>129</v>
      </c>
      <c r="D774" s="183"/>
      <c r="E774" s="183"/>
      <c r="F774" s="183"/>
      <c r="G774" s="183"/>
      <c r="H774" s="172">
        <v>360</v>
      </c>
      <c r="I774" s="172"/>
    </row>
    <row r="775" spans="1:28" ht="14.25" x14ac:dyDescent="0.2">
      <c r="C775" s="183" t="s">
        <v>130</v>
      </c>
      <c r="D775" s="183"/>
      <c r="E775" s="183"/>
      <c r="F775" s="183"/>
      <c r="G775" s="183"/>
      <c r="H775" s="172">
        <v>148</v>
      </c>
      <c r="I775" s="172"/>
    </row>
    <row r="776" spans="1:28" ht="14.25" x14ac:dyDescent="0.2">
      <c r="C776" s="183" t="s">
        <v>131</v>
      </c>
      <c r="D776" s="183"/>
      <c r="E776" s="183"/>
      <c r="F776" s="183"/>
      <c r="G776" s="183"/>
      <c r="H776" s="172">
        <v>97</v>
      </c>
      <c r="I776" s="172"/>
    </row>
    <row r="777" spans="1:28" ht="14.25" x14ac:dyDescent="0.2">
      <c r="C777" s="183" t="s">
        <v>134</v>
      </c>
      <c r="D777" s="183"/>
      <c r="E777" s="183"/>
      <c r="F777" s="183"/>
      <c r="G777" s="183"/>
      <c r="H777" s="172">
        <v>870</v>
      </c>
      <c r="I777" s="172"/>
    </row>
    <row r="779" spans="1:28" ht="16.5" x14ac:dyDescent="0.25">
      <c r="A779" s="186" t="s">
        <v>1293</v>
      </c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</row>
    <row r="780" spans="1:28" ht="105" x14ac:dyDescent="0.2">
      <c r="A780" s="149" t="s">
        <v>267</v>
      </c>
      <c r="B780" s="149" t="s">
        <v>1454</v>
      </c>
      <c r="C780" s="145" t="s">
        <v>1112</v>
      </c>
      <c r="D780" s="3">
        <v>0.33300000000000002</v>
      </c>
      <c r="E780" s="141">
        <v>1296.78</v>
      </c>
      <c r="F780" s="141">
        <v>799.28</v>
      </c>
      <c r="G780" s="140">
        <v>432</v>
      </c>
      <c r="H780" s="140">
        <v>69</v>
      </c>
      <c r="I780" s="142">
        <v>266</v>
      </c>
      <c r="J780" s="141">
        <v>22.413499999999996</v>
      </c>
      <c r="K780" s="141">
        <v>7.4636954999999992</v>
      </c>
      <c r="T780">
        <v>596</v>
      </c>
      <c r="U780">
        <v>97</v>
      </c>
      <c r="V780">
        <v>69</v>
      </c>
      <c r="W780">
        <v>266</v>
      </c>
      <c r="X780">
        <v>38</v>
      </c>
      <c r="Y780">
        <v>7.4636954999999992</v>
      </c>
      <c r="Z780">
        <v>3.2342624999999998</v>
      </c>
      <c r="AA780">
        <v>87</v>
      </c>
      <c r="AB780">
        <v>77</v>
      </c>
    </row>
    <row r="781" spans="1:28" ht="14.25" x14ac:dyDescent="0.2">
      <c r="C781" s="35" t="s">
        <v>99</v>
      </c>
      <c r="D781" s="3"/>
      <c r="E781" s="139">
        <v>205.76</v>
      </c>
      <c r="F781" s="139">
        <v>112.63</v>
      </c>
      <c r="G781" s="140"/>
      <c r="H781" s="140"/>
      <c r="I781" s="140">
        <v>38</v>
      </c>
      <c r="J781" s="139">
        <v>9.7124999999999986</v>
      </c>
      <c r="K781" s="139">
        <v>3.2342624999999998</v>
      </c>
    </row>
    <row r="782" spans="1:28" x14ac:dyDescent="0.2">
      <c r="C782" s="36" t="s">
        <v>1294</v>
      </c>
    </row>
    <row r="783" spans="1:28" x14ac:dyDescent="0.2">
      <c r="C783" s="20" t="s">
        <v>89</v>
      </c>
      <c r="D783" s="37">
        <v>90</v>
      </c>
      <c r="E783" s="144">
        <v>257.89589999999998</v>
      </c>
      <c r="F783" s="37" t="s">
        <v>101</v>
      </c>
      <c r="G783" s="143">
        <v>87</v>
      </c>
      <c r="H783" s="37" t="s">
        <v>102</v>
      </c>
      <c r="I783" s="37"/>
      <c r="J783" s="37"/>
      <c r="K783" s="37"/>
    </row>
    <row r="784" spans="1:28" x14ac:dyDescent="0.2">
      <c r="C784" s="20" t="s">
        <v>92</v>
      </c>
      <c r="D784" s="37">
        <v>85</v>
      </c>
      <c r="E784" s="144">
        <v>230.03677499999998</v>
      </c>
      <c r="F784" s="37" t="s">
        <v>103</v>
      </c>
      <c r="G784" s="143">
        <v>77</v>
      </c>
      <c r="H784" s="37" t="s">
        <v>104</v>
      </c>
      <c r="I784" s="37"/>
      <c r="J784" s="37"/>
      <c r="K784" s="37"/>
    </row>
    <row r="785" spans="1:28" x14ac:dyDescent="0.2">
      <c r="C785" s="20" t="s">
        <v>95</v>
      </c>
      <c r="D785" s="37"/>
      <c r="E785" s="144">
        <v>1784.712675</v>
      </c>
      <c r="F785" s="37"/>
      <c r="G785" s="143">
        <v>596</v>
      </c>
      <c r="H785" s="37"/>
      <c r="I785" s="37"/>
      <c r="J785" s="37"/>
      <c r="K785" s="37"/>
    </row>
    <row r="786" spans="1:28" ht="14.25" x14ac:dyDescent="0.2">
      <c r="A786" s="149" t="s">
        <v>1455</v>
      </c>
      <c r="B786" s="149" t="s">
        <v>1146</v>
      </c>
      <c r="C786" s="145" t="s">
        <v>147</v>
      </c>
      <c r="D786" s="3">
        <v>0.33300000000000002</v>
      </c>
      <c r="E786" s="141">
        <v>0</v>
      </c>
      <c r="F786" s="141">
        <v>0</v>
      </c>
      <c r="G786" s="140">
        <v>0</v>
      </c>
      <c r="H786" s="140">
        <v>0</v>
      </c>
      <c r="I786" s="142">
        <v>0</v>
      </c>
      <c r="J786" s="141">
        <v>0</v>
      </c>
      <c r="K786" s="141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</row>
    <row r="787" spans="1:28" ht="14.25" x14ac:dyDescent="0.2">
      <c r="C787" s="35" t="s">
        <v>99</v>
      </c>
      <c r="D787" s="3"/>
      <c r="E787" s="139">
        <v>0</v>
      </c>
      <c r="F787" s="139">
        <v>0</v>
      </c>
      <c r="G787" s="140"/>
      <c r="H787" s="140"/>
      <c r="I787" s="140">
        <v>0</v>
      </c>
      <c r="J787" s="139">
        <v>0</v>
      </c>
      <c r="K787" s="139">
        <v>0</v>
      </c>
    </row>
    <row r="788" spans="1:28" ht="99.75" x14ac:dyDescent="0.2">
      <c r="A788" s="149" t="s">
        <v>268</v>
      </c>
      <c r="B788" s="149" t="s">
        <v>1456</v>
      </c>
      <c r="C788" s="145" t="s">
        <v>1291</v>
      </c>
      <c r="D788" s="3">
        <v>0.33300000000000002</v>
      </c>
      <c r="E788" s="141">
        <v>8300</v>
      </c>
      <c r="F788" s="141">
        <v>0</v>
      </c>
      <c r="G788" s="140">
        <v>2764</v>
      </c>
      <c r="H788" s="140">
        <v>0</v>
      </c>
      <c r="I788" s="142">
        <v>0</v>
      </c>
      <c r="J788" s="141">
        <v>0</v>
      </c>
      <c r="K788" s="141">
        <v>0</v>
      </c>
      <c r="T788">
        <v>2764</v>
      </c>
      <c r="U788">
        <v>2764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</row>
    <row r="789" spans="1:28" ht="14.25" x14ac:dyDescent="0.2">
      <c r="C789" s="35" t="s">
        <v>99</v>
      </c>
      <c r="D789" s="3"/>
      <c r="E789" s="139">
        <v>0</v>
      </c>
      <c r="F789" s="139">
        <v>0</v>
      </c>
      <c r="G789" s="140"/>
      <c r="H789" s="140"/>
      <c r="I789" s="140">
        <v>0</v>
      </c>
      <c r="J789" s="139">
        <v>0</v>
      </c>
      <c r="K789" s="139">
        <v>0</v>
      </c>
    </row>
    <row r="790" spans="1:28" ht="119.25" x14ac:dyDescent="0.2">
      <c r="A790" s="149" t="s">
        <v>269</v>
      </c>
      <c r="B790" s="149" t="s">
        <v>1457</v>
      </c>
      <c r="C790" s="145" t="s">
        <v>1360</v>
      </c>
      <c r="D790" s="3">
        <v>9.7000000000000003E-2</v>
      </c>
      <c r="E790" s="141">
        <v>228.6</v>
      </c>
      <c r="F790" s="141">
        <v>11.53</v>
      </c>
      <c r="G790" s="140">
        <v>22</v>
      </c>
      <c r="H790" s="140">
        <v>6</v>
      </c>
      <c r="I790" s="142">
        <v>1</v>
      </c>
      <c r="J790" s="141">
        <v>6.1064999999999987</v>
      </c>
      <c r="K790" s="141">
        <v>0.59233049999999987</v>
      </c>
      <c r="T790">
        <v>31</v>
      </c>
      <c r="U790">
        <v>15</v>
      </c>
      <c r="V790">
        <v>6</v>
      </c>
      <c r="W790">
        <v>1</v>
      </c>
      <c r="X790">
        <v>0</v>
      </c>
      <c r="Y790">
        <v>0.59233049999999987</v>
      </c>
      <c r="Z790">
        <v>2.4250000000000001E-3</v>
      </c>
      <c r="AA790">
        <v>5</v>
      </c>
      <c r="AB790">
        <v>4</v>
      </c>
    </row>
    <row r="791" spans="1:28" ht="14.25" x14ac:dyDescent="0.2">
      <c r="C791" s="35" t="s">
        <v>97</v>
      </c>
      <c r="D791" s="3"/>
      <c r="E791" s="139">
        <v>65.03</v>
      </c>
      <c r="F791" s="139">
        <v>0.28000000000000003</v>
      </c>
      <c r="G791" s="140"/>
      <c r="H791" s="140"/>
      <c r="I791" s="140">
        <v>0</v>
      </c>
      <c r="J791" s="139">
        <v>2.5000000000000001E-2</v>
      </c>
      <c r="K791" s="139">
        <v>2.4250000000000001E-3</v>
      </c>
    </row>
    <row r="792" spans="1:28" x14ac:dyDescent="0.2">
      <c r="C792" s="36" t="s">
        <v>1295</v>
      </c>
    </row>
    <row r="793" spans="1:28" x14ac:dyDescent="0.2">
      <c r="C793" s="20" t="s">
        <v>89</v>
      </c>
      <c r="D793" s="37">
        <v>90</v>
      </c>
      <c r="E793" s="144">
        <v>52.901100000000007</v>
      </c>
      <c r="F793" s="37" t="s">
        <v>101</v>
      </c>
      <c r="G793" s="143">
        <v>5</v>
      </c>
      <c r="H793" s="37" t="s">
        <v>102</v>
      </c>
      <c r="I793" s="37"/>
      <c r="J793" s="37"/>
      <c r="K793" s="37"/>
    </row>
    <row r="794" spans="1:28" x14ac:dyDescent="0.2">
      <c r="C794" s="20" t="s">
        <v>92</v>
      </c>
      <c r="D794" s="37">
        <v>70</v>
      </c>
      <c r="E794" s="144">
        <v>38.859450000000002</v>
      </c>
      <c r="F794" s="37" t="s">
        <v>93</v>
      </c>
      <c r="G794" s="143">
        <v>4</v>
      </c>
      <c r="H794" s="37" t="s">
        <v>94</v>
      </c>
      <c r="I794" s="37"/>
      <c r="J794" s="37"/>
      <c r="K794" s="37"/>
    </row>
    <row r="795" spans="1:28" x14ac:dyDescent="0.2">
      <c r="C795" s="20" t="s">
        <v>95</v>
      </c>
      <c r="D795" s="37"/>
      <c r="E795" s="144">
        <v>320.36054999999999</v>
      </c>
      <c r="F795" s="37"/>
      <c r="G795" s="143">
        <v>31</v>
      </c>
      <c r="H795" s="37"/>
      <c r="I795" s="37"/>
      <c r="J795" s="37"/>
      <c r="K795" s="37"/>
    </row>
    <row r="796" spans="1:28" ht="117.75" x14ac:dyDescent="0.2">
      <c r="A796" s="149" t="s">
        <v>270</v>
      </c>
      <c r="B796" s="149" t="s">
        <v>1458</v>
      </c>
      <c r="C796" s="145" t="s">
        <v>1359</v>
      </c>
      <c r="D796" s="3">
        <v>9.7000000000000003E-2</v>
      </c>
      <c r="E796" s="141">
        <v>335.79</v>
      </c>
      <c r="F796" s="141">
        <v>15.03</v>
      </c>
      <c r="G796" s="140">
        <v>32</v>
      </c>
      <c r="H796" s="140">
        <v>4</v>
      </c>
      <c r="I796" s="142">
        <v>1</v>
      </c>
      <c r="J796" s="141">
        <v>4.8989999999999991</v>
      </c>
      <c r="K796" s="141">
        <v>0.47520299999999993</v>
      </c>
      <c r="T796">
        <v>37</v>
      </c>
      <c r="U796">
        <v>27</v>
      </c>
      <c r="V796">
        <v>4</v>
      </c>
      <c r="W796">
        <v>1</v>
      </c>
      <c r="X796">
        <v>0</v>
      </c>
      <c r="Y796">
        <v>0.47520299999999993</v>
      </c>
      <c r="Z796">
        <v>4.8500000000000001E-3</v>
      </c>
      <c r="AA796">
        <v>3</v>
      </c>
      <c r="AB796">
        <v>2</v>
      </c>
    </row>
    <row r="797" spans="1:28" ht="14.25" x14ac:dyDescent="0.2">
      <c r="C797" s="35" t="s">
        <v>97</v>
      </c>
      <c r="D797" s="3"/>
      <c r="E797" s="139">
        <v>44.44</v>
      </c>
      <c r="F797" s="139">
        <v>0.55000000000000004</v>
      </c>
      <c r="G797" s="140"/>
      <c r="H797" s="140"/>
      <c r="I797" s="140">
        <v>0</v>
      </c>
      <c r="J797" s="139">
        <v>0.05</v>
      </c>
      <c r="K797" s="139">
        <v>4.8500000000000001E-3</v>
      </c>
    </row>
    <row r="798" spans="1:28" x14ac:dyDescent="0.2">
      <c r="C798" s="36" t="s">
        <v>1296</v>
      </c>
    </row>
    <row r="799" spans="1:28" x14ac:dyDescent="0.2">
      <c r="C799" s="20" t="s">
        <v>89</v>
      </c>
      <c r="D799" s="37">
        <v>90</v>
      </c>
      <c r="E799" s="144">
        <v>36.441899999999997</v>
      </c>
      <c r="F799" s="37" t="s">
        <v>101</v>
      </c>
      <c r="G799" s="143">
        <v>3</v>
      </c>
      <c r="H799" s="37" t="s">
        <v>102</v>
      </c>
      <c r="I799" s="37"/>
      <c r="J799" s="37"/>
      <c r="K799" s="37"/>
    </row>
    <row r="800" spans="1:28" x14ac:dyDescent="0.2">
      <c r="C800" s="20" t="s">
        <v>92</v>
      </c>
      <c r="D800" s="37">
        <v>70</v>
      </c>
      <c r="E800" s="144">
        <v>26.769049999999996</v>
      </c>
      <c r="F800" s="37" t="s">
        <v>93</v>
      </c>
      <c r="G800" s="143">
        <v>2</v>
      </c>
      <c r="H800" s="37" t="s">
        <v>94</v>
      </c>
      <c r="I800" s="37"/>
      <c r="J800" s="37"/>
      <c r="K800" s="37"/>
    </row>
    <row r="801" spans="1:33" x14ac:dyDescent="0.2">
      <c r="C801" s="20" t="s">
        <v>95</v>
      </c>
      <c r="D801" s="37"/>
      <c r="E801" s="144">
        <v>399.00094999999999</v>
      </c>
      <c r="F801" s="37"/>
      <c r="G801" s="143">
        <v>37</v>
      </c>
      <c r="H801" s="37"/>
      <c r="I801" s="37"/>
      <c r="J801" s="37"/>
      <c r="K801" s="37"/>
    </row>
    <row r="803" spans="1:33" ht="15" x14ac:dyDescent="0.25">
      <c r="A803" s="4"/>
      <c r="B803" s="4"/>
      <c r="C803" s="187" t="s">
        <v>1297</v>
      </c>
      <c r="D803" s="187"/>
      <c r="E803" s="187"/>
      <c r="F803" s="187"/>
      <c r="G803" s="136">
        <f>IF(SUM(T779:T802)=0, "-", SUM(T779:T802))</f>
        <v>3428</v>
      </c>
      <c r="H803" s="136">
        <f>IF(SUM(V779:V802)=0, "-", SUM(V779:V802))</f>
        <v>79</v>
      </c>
      <c r="I803" s="138">
        <f>IF(SUM(W779:W802)=0, "-", SUM(W779:W802))</f>
        <v>268</v>
      </c>
      <c r="J803" s="136"/>
      <c r="K803" s="137">
        <f>IF(SUM(Y779:Y802)=0, "-", SUM(Y779:Y802))</f>
        <v>8.5312289999999997</v>
      </c>
      <c r="AG803" s="146" t="s">
        <v>1297</v>
      </c>
    </row>
    <row r="804" spans="1:33" ht="15" x14ac:dyDescent="0.25">
      <c r="A804" s="4"/>
      <c r="B804" s="4"/>
      <c r="C804" s="4"/>
      <c r="D804" s="4"/>
      <c r="E804" s="4"/>
      <c r="F804" s="4"/>
      <c r="G804" s="136"/>
      <c r="H804" s="136"/>
      <c r="I804" s="136">
        <f>IF(SUM(X779:X802)=0, "-", SUM(X779:X802))</f>
        <v>38</v>
      </c>
      <c r="J804" s="136"/>
      <c r="K804" s="135">
        <f>IF(SUM(Z779:Z802)=0, "-", SUM(Z779:Z802))</f>
        <v>3.2415374999999997</v>
      </c>
    </row>
    <row r="807" spans="1:33" ht="14.25" x14ac:dyDescent="0.2">
      <c r="C807" s="183" t="s">
        <v>127</v>
      </c>
      <c r="D807" s="183"/>
      <c r="E807" s="183"/>
      <c r="F807" s="183"/>
      <c r="G807" s="183"/>
      <c r="H807" s="172">
        <v>79</v>
      </c>
      <c r="I807" s="172"/>
    </row>
    <row r="808" spans="1:33" ht="14.25" x14ac:dyDescent="0.2">
      <c r="C808" s="183" t="s">
        <v>128</v>
      </c>
      <c r="D808" s="183"/>
      <c r="E808" s="183"/>
      <c r="F808" s="183"/>
      <c r="G808" s="183"/>
      <c r="H808" s="172">
        <v>268</v>
      </c>
      <c r="I808" s="172"/>
    </row>
    <row r="809" spans="1:33" ht="14.25" x14ac:dyDescent="0.2">
      <c r="C809" s="183" t="s">
        <v>129</v>
      </c>
      <c r="D809" s="183"/>
      <c r="E809" s="183"/>
      <c r="F809" s="183"/>
      <c r="G809" s="183"/>
      <c r="H809" s="172">
        <v>2903</v>
      </c>
      <c r="I809" s="172"/>
    </row>
    <row r="810" spans="1:33" ht="14.25" x14ac:dyDescent="0.2">
      <c r="C810" s="183" t="s">
        <v>130</v>
      </c>
      <c r="D810" s="183"/>
      <c r="E810" s="183"/>
      <c r="F810" s="183"/>
      <c r="G810" s="183"/>
      <c r="H810" s="172">
        <v>95</v>
      </c>
      <c r="I810" s="172"/>
    </row>
    <row r="811" spans="1:33" ht="14.25" x14ac:dyDescent="0.2">
      <c r="C811" s="183" t="s">
        <v>131</v>
      </c>
      <c r="D811" s="183"/>
      <c r="E811" s="183"/>
      <c r="F811" s="183"/>
      <c r="G811" s="183"/>
      <c r="H811" s="172">
        <v>83</v>
      </c>
      <c r="I811" s="172"/>
    </row>
    <row r="812" spans="1:33" ht="14.25" x14ac:dyDescent="0.2">
      <c r="C812" s="183" t="s">
        <v>134</v>
      </c>
      <c r="D812" s="183"/>
      <c r="E812" s="183"/>
      <c r="F812" s="183"/>
      <c r="G812" s="183"/>
      <c r="H812" s="172">
        <v>3428</v>
      </c>
      <c r="I812" s="172"/>
    </row>
    <row r="814" spans="1:33" ht="16.5" x14ac:dyDescent="0.25">
      <c r="A814" s="186" t="s">
        <v>1298</v>
      </c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</row>
    <row r="815" spans="1:33" ht="99.75" x14ac:dyDescent="0.2">
      <c r="A815" s="149" t="s">
        <v>271</v>
      </c>
      <c r="B815" s="149" t="s">
        <v>1384</v>
      </c>
      <c r="C815" s="145" t="s">
        <v>1385</v>
      </c>
      <c r="D815" s="3">
        <v>1.5854999999999999</v>
      </c>
      <c r="E815" s="141">
        <v>153.59</v>
      </c>
      <c r="F815" s="141">
        <v>41.43</v>
      </c>
      <c r="G815" s="140">
        <v>244</v>
      </c>
      <c r="H815" s="140">
        <v>178</v>
      </c>
      <c r="I815" s="142">
        <v>66</v>
      </c>
      <c r="J815" s="141">
        <v>14.38</v>
      </c>
      <c r="K815" s="141">
        <v>22.799489999999999</v>
      </c>
      <c r="T815">
        <v>526</v>
      </c>
      <c r="U815">
        <v>0</v>
      </c>
      <c r="V815">
        <v>178</v>
      </c>
      <c r="W815">
        <v>66</v>
      </c>
      <c r="X815">
        <v>0</v>
      </c>
      <c r="Y815">
        <v>22.799489999999999</v>
      </c>
      <c r="Z815">
        <v>0</v>
      </c>
      <c r="AA815">
        <v>176</v>
      </c>
      <c r="AB815">
        <v>106</v>
      </c>
    </row>
    <row r="816" spans="1:33" ht="14.25" x14ac:dyDescent="0.2">
      <c r="C816" s="35" t="s">
        <v>97</v>
      </c>
      <c r="D816" s="3"/>
      <c r="E816" s="139">
        <v>112.16</v>
      </c>
      <c r="F816" s="139">
        <v>0</v>
      </c>
      <c r="G816" s="140"/>
      <c r="H816" s="140"/>
      <c r="I816" s="140">
        <v>0</v>
      </c>
      <c r="J816" s="139">
        <v>0</v>
      </c>
      <c r="K816" s="139">
        <v>0</v>
      </c>
    </row>
    <row r="817" spans="1:28" x14ac:dyDescent="0.2">
      <c r="C817" s="36" t="s">
        <v>1299</v>
      </c>
    </row>
    <row r="818" spans="1:28" x14ac:dyDescent="0.2">
      <c r="C818" s="20" t="s">
        <v>89</v>
      </c>
      <c r="D818" s="37">
        <v>110</v>
      </c>
      <c r="E818" s="144">
        <v>111.0384</v>
      </c>
      <c r="F818" s="37" t="s">
        <v>90</v>
      </c>
      <c r="G818" s="143">
        <v>176</v>
      </c>
      <c r="H818" s="37" t="s">
        <v>91</v>
      </c>
      <c r="I818" s="37"/>
      <c r="J818" s="37"/>
      <c r="K818" s="37"/>
    </row>
    <row r="819" spans="1:28" x14ac:dyDescent="0.2">
      <c r="C819" s="20" t="s">
        <v>92</v>
      </c>
      <c r="D819" s="37">
        <v>70</v>
      </c>
      <c r="E819" s="144">
        <v>66.735199999999992</v>
      </c>
      <c r="F819" s="37" t="s">
        <v>93</v>
      </c>
      <c r="G819" s="143">
        <v>106</v>
      </c>
      <c r="H819" s="37" t="s">
        <v>94</v>
      </c>
      <c r="I819" s="37"/>
      <c r="J819" s="37"/>
      <c r="K819" s="37"/>
    </row>
    <row r="820" spans="1:28" x14ac:dyDescent="0.2">
      <c r="C820" s="20" t="s">
        <v>95</v>
      </c>
      <c r="D820" s="37"/>
      <c r="E820" s="144">
        <v>331.36360000000002</v>
      </c>
      <c r="F820" s="37"/>
      <c r="G820" s="143">
        <v>526</v>
      </c>
      <c r="H820" s="37"/>
      <c r="I820" s="37"/>
      <c r="J820" s="37"/>
      <c r="K820" s="37"/>
    </row>
    <row r="821" spans="1:28" ht="99.75" x14ac:dyDescent="0.2">
      <c r="A821" s="149" t="s">
        <v>272</v>
      </c>
      <c r="B821" s="149" t="s">
        <v>1386</v>
      </c>
      <c r="C821" s="145" t="s">
        <v>1387</v>
      </c>
      <c r="D821" s="3">
        <v>0.20250000000000001</v>
      </c>
      <c r="E821" s="141">
        <v>79.44</v>
      </c>
      <c r="F821" s="141">
        <v>12.52</v>
      </c>
      <c r="G821" s="140">
        <v>17</v>
      </c>
      <c r="H821" s="140">
        <v>14</v>
      </c>
      <c r="I821" s="142">
        <v>3</v>
      </c>
      <c r="J821" s="141">
        <v>8.58</v>
      </c>
      <c r="K821" s="141">
        <v>1.7374500000000002</v>
      </c>
      <c r="T821">
        <v>39</v>
      </c>
      <c r="U821">
        <v>0</v>
      </c>
      <c r="V821">
        <v>14</v>
      </c>
      <c r="W821">
        <v>3</v>
      </c>
      <c r="X821">
        <v>0</v>
      </c>
      <c r="Y821">
        <v>1.7374500000000002</v>
      </c>
      <c r="Z821">
        <v>0</v>
      </c>
      <c r="AA821">
        <v>14</v>
      </c>
      <c r="AB821">
        <v>8</v>
      </c>
    </row>
    <row r="822" spans="1:28" ht="14.25" x14ac:dyDescent="0.2">
      <c r="C822" s="35" t="s">
        <v>97</v>
      </c>
      <c r="D822" s="3"/>
      <c r="E822" s="139">
        <v>66.92</v>
      </c>
      <c r="F822" s="139">
        <v>0</v>
      </c>
      <c r="G822" s="140"/>
      <c r="H822" s="140"/>
      <c r="I822" s="140">
        <v>0</v>
      </c>
      <c r="J822" s="139">
        <v>0</v>
      </c>
      <c r="K822" s="139">
        <v>0</v>
      </c>
    </row>
    <row r="823" spans="1:28" x14ac:dyDescent="0.2">
      <c r="C823" s="36" t="s">
        <v>1300</v>
      </c>
    </row>
    <row r="824" spans="1:28" x14ac:dyDescent="0.2">
      <c r="C824" s="20" t="s">
        <v>89</v>
      </c>
      <c r="D824" s="37">
        <v>110</v>
      </c>
      <c r="E824" s="144">
        <v>66.250799999999998</v>
      </c>
      <c r="F824" s="37" t="s">
        <v>90</v>
      </c>
      <c r="G824" s="143">
        <v>14</v>
      </c>
      <c r="H824" s="37" t="s">
        <v>91</v>
      </c>
      <c r="I824" s="37"/>
      <c r="J824" s="37"/>
      <c r="K824" s="37"/>
    </row>
    <row r="825" spans="1:28" x14ac:dyDescent="0.2">
      <c r="C825" s="20" t="s">
        <v>92</v>
      </c>
      <c r="D825" s="37">
        <v>70</v>
      </c>
      <c r="E825" s="144">
        <v>39.817399999999999</v>
      </c>
      <c r="F825" s="37" t="s">
        <v>93</v>
      </c>
      <c r="G825" s="143">
        <v>8</v>
      </c>
      <c r="H825" s="37" t="s">
        <v>94</v>
      </c>
      <c r="I825" s="37"/>
      <c r="J825" s="37"/>
      <c r="K825" s="37"/>
    </row>
    <row r="826" spans="1:28" x14ac:dyDescent="0.2">
      <c r="C826" s="20" t="s">
        <v>95</v>
      </c>
      <c r="D826" s="37"/>
      <c r="E826" s="144">
        <v>185.50819999999999</v>
      </c>
      <c r="F826" s="37"/>
      <c r="G826" s="143">
        <v>39</v>
      </c>
      <c r="H826" s="37"/>
      <c r="I826" s="37"/>
      <c r="J826" s="37"/>
      <c r="K826" s="37"/>
    </row>
    <row r="827" spans="1:28" ht="99.75" x14ac:dyDescent="0.2">
      <c r="A827" s="149" t="s">
        <v>273</v>
      </c>
      <c r="B827" s="149" t="s">
        <v>1388</v>
      </c>
      <c r="C827" s="145" t="s">
        <v>1389</v>
      </c>
      <c r="D827" s="3">
        <v>7.9</v>
      </c>
      <c r="E827" s="141">
        <v>187.07</v>
      </c>
      <c r="F827" s="141">
        <v>117.23</v>
      </c>
      <c r="G827" s="140">
        <v>1478</v>
      </c>
      <c r="H827" s="140">
        <v>552</v>
      </c>
      <c r="I827" s="142">
        <v>926</v>
      </c>
      <c r="J827" s="141">
        <v>7.7</v>
      </c>
      <c r="K827" s="141">
        <v>60.830000000000005</v>
      </c>
      <c r="T827">
        <v>2352</v>
      </c>
      <c r="U827">
        <v>0</v>
      </c>
      <c r="V827">
        <v>552</v>
      </c>
      <c r="W827">
        <v>926</v>
      </c>
      <c r="X827">
        <v>0</v>
      </c>
      <c r="Y827">
        <v>60.830000000000005</v>
      </c>
      <c r="Z827">
        <v>0</v>
      </c>
      <c r="AA827">
        <v>546</v>
      </c>
      <c r="AB827">
        <v>328</v>
      </c>
    </row>
    <row r="828" spans="1:28" ht="14.25" x14ac:dyDescent="0.2">
      <c r="C828" s="35" t="s">
        <v>88</v>
      </c>
      <c r="D828" s="3"/>
      <c r="E828" s="139">
        <v>69.84</v>
      </c>
      <c r="F828" s="139">
        <v>0</v>
      </c>
      <c r="G828" s="140"/>
      <c r="H828" s="140"/>
      <c r="I828" s="140">
        <v>0</v>
      </c>
      <c r="J828" s="139">
        <v>0</v>
      </c>
      <c r="K828" s="139">
        <v>0</v>
      </c>
    </row>
    <row r="829" spans="1:28" x14ac:dyDescent="0.2">
      <c r="C829" s="36" t="s">
        <v>1301</v>
      </c>
    </row>
    <row r="830" spans="1:28" x14ac:dyDescent="0.2">
      <c r="C830" s="20" t="s">
        <v>89</v>
      </c>
      <c r="D830" s="37">
        <v>110</v>
      </c>
      <c r="E830" s="144">
        <v>69.141600000000011</v>
      </c>
      <c r="F830" s="37" t="s">
        <v>90</v>
      </c>
      <c r="G830" s="143">
        <v>546</v>
      </c>
      <c r="H830" s="37" t="s">
        <v>91</v>
      </c>
      <c r="I830" s="37"/>
      <c r="J830" s="37"/>
      <c r="K830" s="37"/>
    </row>
    <row r="831" spans="1:28" x14ac:dyDescent="0.2">
      <c r="C831" s="20" t="s">
        <v>92</v>
      </c>
      <c r="D831" s="37">
        <v>70</v>
      </c>
      <c r="E831" s="144">
        <v>41.554800000000007</v>
      </c>
      <c r="F831" s="37" t="s">
        <v>93</v>
      </c>
      <c r="G831" s="143">
        <v>328</v>
      </c>
      <c r="H831" s="37" t="s">
        <v>94</v>
      </c>
      <c r="I831" s="37"/>
      <c r="J831" s="37"/>
      <c r="K831" s="37"/>
    </row>
    <row r="832" spans="1:28" x14ac:dyDescent="0.2">
      <c r="C832" s="20" t="s">
        <v>95</v>
      </c>
      <c r="D832" s="37"/>
      <c r="E832" s="144">
        <v>297.76639999999998</v>
      </c>
      <c r="F832" s="37"/>
      <c r="G832" s="143">
        <v>2352</v>
      </c>
      <c r="H832" s="37"/>
      <c r="I832" s="37"/>
      <c r="J832" s="37"/>
      <c r="K832" s="37"/>
    </row>
    <row r="833" spans="1:28" ht="14.25" x14ac:dyDescent="0.2">
      <c r="A833" s="149" t="s">
        <v>1390</v>
      </c>
      <c r="B833" s="149" t="s">
        <v>1146</v>
      </c>
      <c r="C833" s="145" t="s">
        <v>98</v>
      </c>
      <c r="D833" s="3">
        <v>18.802</v>
      </c>
      <c r="E833" s="141">
        <v>0</v>
      </c>
      <c r="F833" s="141">
        <v>0</v>
      </c>
      <c r="G833" s="140">
        <v>0</v>
      </c>
      <c r="H833" s="140">
        <v>0</v>
      </c>
      <c r="I833" s="142">
        <v>0</v>
      </c>
      <c r="J833" s="141">
        <v>0</v>
      </c>
      <c r="K833" s="141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</row>
    <row r="834" spans="1:28" ht="14.25" x14ac:dyDescent="0.2">
      <c r="C834" s="35" t="s">
        <v>99</v>
      </c>
      <c r="D834" s="3"/>
      <c r="E834" s="139">
        <v>0</v>
      </c>
      <c r="F834" s="139">
        <v>0</v>
      </c>
      <c r="G834" s="140"/>
      <c r="H834" s="140"/>
      <c r="I834" s="140">
        <v>0</v>
      </c>
      <c r="J834" s="139">
        <v>0</v>
      </c>
      <c r="K834" s="139">
        <v>0</v>
      </c>
    </row>
    <row r="835" spans="1:28" ht="85.5" x14ac:dyDescent="0.2">
      <c r="A835" s="149" t="s">
        <v>274</v>
      </c>
      <c r="B835" s="149" t="s">
        <v>1391</v>
      </c>
      <c r="C835" s="145" t="s">
        <v>1392</v>
      </c>
      <c r="D835" s="3">
        <v>0.13300000000000001</v>
      </c>
      <c r="E835" s="141">
        <v>1363</v>
      </c>
      <c r="F835" s="141">
        <v>0</v>
      </c>
      <c r="G835" s="140">
        <v>181</v>
      </c>
      <c r="H835" s="140">
        <v>181</v>
      </c>
      <c r="I835" s="142">
        <v>0</v>
      </c>
      <c r="J835" s="141">
        <v>188</v>
      </c>
      <c r="K835" s="141">
        <v>25.004000000000001</v>
      </c>
      <c r="T835">
        <v>413</v>
      </c>
      <c r="U835">
        <v>0</v>
      </c>
      <c r="V835">
        <v>181</v>
      </c>
      <c r="W835">
        <v>0</v>
      </c>
      <c r="X835">
        <v>0</v>
      </c>
      <c r="Y835">
        <v>25.004000000000001</v>
      </c>
      <c r="Z835">
        <v>0</v>
      </c>
      <c r="AA835">
        <v>141</v>
      </c>
      <c r="AB835">
        <v>91</v>
      </c>
    </row>
    <row r="836" spans="1:28" ht="14.25" x14ac:dyDescent="0.2">
      <c r="C836" s="35" t="s">
        <v>1302</v>
      </c>
      <c r="D836" s="3"/>
      <c r="E836" s="139">
        <v>1363</v>
      </c>
      <c r="F836" s="139">
        <v>0</v>
      </c>
      <c r="G836" s="140"/>
      <c r="H836" s="140"/>
      <c r="I836" s="140">
        <v>0</v>
      </c>
      <c r="J836" s="139">
        <v>0</v>
      </c>
      <c r="K836" s="139">
        <v>0</v>
      </c>
    </row>
    <row r="837" spans="1:28" x14ac:dyDescent="0.2">
      <c r="C837" s="36" t="s">
        <v>1303</v>
      </c>
    </row>
    <row r="838" spans="1:28" x14ac:dyDescent="0.2">
      <c r="C838" s="20" t="s">
        <v>89</v>
      </c>
      <c r="D838" s="37">
        <v>78</v>
      </c>
      <c r="E838" s="144">
        <v>1063.1400000000001</v>
      </c>
      <c r="F838" s="37"/>
      <c r="G838" s="143">
        <v>141</v>
      </c>
      <c r="H838" s="37" t="s">
        <v>220</v>
      </c>
      <c r="I838" s="37"/>
      <c r="J838" s="37"/>
      <c r="K838" s="37"/>
    </row>
    <row r="839" spans="1:28" x14ac:dyDescent="0.2">
      <c r="C839" s="20" t="s">
        <v>92</v>
      </c>
      <c r="D839" s="37">
        <v>50</v>
      </c>
      <c r="E839" s="144">
        <v>681.5</v>
      </c>
      <c r="F839" s="37"/>
      <c r="G839" s="143">
        <v>91</v>
      </c>
      <c r="H839" s="37" t="s">
        <v>185</v>
      </c>
      <c r="I839" s="37"/>
      <c r="J839" s="37"/>
      <c r="K839" s="37"/>
    </row>
    <row r="840" spans="1:28" x14ac:dyDescent="0.2">
      <c r="C840" s="20" t="s">
        <v>95</v>
      </c>
      <c r="D840" s="37"/>
      <c r="E840" s="144">
        <v>3107.6400000000003</v>
      </c>
      <c r="F840" s="37"/>
      <c r="G840" s="143">
        <v>413</v>
      </c>
      <c r="H840" s="37"/>
      <c r="I840" s="37"/>
      <c r="J840" s="37"/>
      <c r="K840" s="37"/>
    </row>
    <row r="841" spans="1:28" ht="14.25" x14ac:dyDescent="0.2">
      <c r="A841" s="149" t="s">
        <v>1393</v>
      </c>
      <c r="B841" s="149" t="s">
        <v>1146</v>
      </c>
      <c r="C841" s="145" t="s">
        <v>98</v>
      </c>
      <c r="D841" s="3">
        <v>13.3</v>
      </c>
      <c r="E841" s="141">
        <v>0</v>
      </c>
      <c r="F841" s="141">
        <v>0</v>
      </c>
      <c r="G841" s="140">
        <v>0</v>
      </c>
      <c r="H841" s="140">
        <v>0</v>
      </c>
      <c r="I841" s="142">
        <v>0</v>
      </c>
      <c r="J841" s="141">
        <v>0</v>
      </c>
      <c r="K841" s="1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</row>
    <row r="842" spans="1:28" ht="14.25" x14ac:dyDescent="0.2">
      <c r="C842" s="35" t="s">
        <v>99</v>
      </c>
      <c r="D842" s="3"/>
      <c r="E842" s="139">
        <v>0</v>
      </c>
      <c r="F842" s="139">
        <v>0</v>
      </c>
      <c r="G842" s="140"/>
      <c r="H842" s="140"/>
      <c r="I842" s="140">
        <v>0</v>
      </c>
      <c r="J842" s="139">
        <v>0</v>
      </c>
      <c r="K842" s="139">
        <v>0</v>
      </c>
    </row>
    <row r="843" spans="1:28" ht="85.5" x14ac:dyDescent="0.2">
      <c r="A843" s="149" t="s">
        <v>275</v>
      </c>
      <c r="B843" s="149" t="s">
        <v>1394</v>
      </c>
      <c r="C843" s="145" t="s">
        <v>1304</v>
      </c>
      <c r="D843" s="3">
        <v>13.3</v>
      </c>
      <c r="E843" s="141">
        <v>23.81</v>
      </c>
      <c r="F843" s="141">
        <v>0</v>
      </c>
      <c r="G843" s="140">
        <v>317</v>
      </c>
      <c r="H843" s="140">
        <v>99</v>
      </c>
      <c r="I843" s="142">
        <v>0</v>
      </c>
      <c r="J843" s="141">
        <v>1.03</v>
      </c>
      <c r="K843" s="141">
        <v>13.699000000000002</v>
      </c>
      <c r="T843">
        <v>444</v>
      </c>
      <c r="U843">
        <v>218</v>
      </c>
      <c r="V843">
        <v>99</v>
      </c>
      <c r="W843">
        <v>0</v>
      </c>
      <c r="X843">
        <v>0</v>
      </c>
      <c r="Y843">
        <v>13.699000000000002</v>
      </c>
      <c r="Z843">
        <v>0</v>
      </c>
      <c r="AA843">
        <v>77</v>
      </c>
      <c r="AB843">
        <v>50</v>
      </c>
    </row>
    <row r="844" spans="1:28" ht="14.25" x14ac:dyDescent="0.2">
      <c r="C844" s="35" t="s">
        <v>99</v>
      </c>
      <c r="D844" s="3"/>
      <c r="E844" s="139">
        <v>7.41</v>
      </c>
      <c r="F844" s="139">
        <v>0</v>
      </c>
      <c r="G844" s="140"/>
      <c r="H844" s="140"/>
      <c r="I844" s="140">
        <v>0</v>
      </c>
      <c r="J844" s="139">
        <v>0</v>
      </c>
      <c r="K844" s="139">
        <v>0</v>
      </c>
    </row>
    <row r="845" spans="1:28" x14ac:dyDescent="0.2">
      <c r="C845" s="20" t="s">
        <v>89</v>
      </c>
      <c r="D845" s="37">
        <v>78</v>
      </c>
      <c r="E845" s="144">
        <v>5.7797999999999998</v>
      </c>
      <c r="F845" s="37"/>
      <c r="G845" s="143">
        <v>77</v>
      </c>
      <c r="H845" s="37" t="s">
        <v>220</v>
      </c>
      <c r="I845" s="37"/>
      <c r="J845" s="37"/>
      <c r="K845" s="37"/>
    </row>
    <row r="846" spans="1:28" x14ac:dyDescent="0.2">
      <c r="C846" s="20" t="s">
        <v>92</v>
      </c>
      <c r="D846" s="37">
        <v>50</v>
      </c>
      <c r="E846" s="144">
        <v>3.7050000000000001</v>
      </c>
      <c r="F846" s="37"/>
      <c r="G846" s="143">
        <v>50</v>
      </c>
      <c r="H846" s="37" t="s">
        <v>185</v>
      </c>
      <c r="I846" s="37"/>
      <c r="J846" s="37"/>
      <c r="K846" s="37"/>
    </row>
    <row r="847" spans="1:28" x14ac:dyDescent="0.2">
      <c r="C847" s="20" t="s">
        <v>95</v>
      </c>
      <c r="D847" s="37"/>
      <c r="E847" s="144">
        <v>33.294799999999995</v>
      </c>
      <c r="F847" s="37"/>
      <c r="G847" s="143">
        <v>444</v>
      </c>
      <c r="H847" s="37"/>
      <c r="I847" s="37"/>
      <c r="J847" s="37"/>
      <c r="K847" s="37"/>
    </row>
    <row r="848" spans="1:28" ht="99.75" x14ac:dyDescent="0.2">
      <c r="A848" s="149" t="s">
        <v>276</v>
      </c>
      <c r="B848" s="149" t="s">
        <v>1395</v>
      </c>
      <c r="C848" s="145" t="s">
        <v>1143</v>
      </c>
      <c r="D848" s="3">
        <v>33.4</v>
      </c>
      <c r="E848" s="141">
        <v>42.98</v>
      </c>
      <c r="F848" s="141">
        <v>0</v>
      </c>
      <c r="G848" s="140">
        <v>1436</v>
      </c>
      <c r="H848" s="140">
        <v>0</v>
      </c>
      <c r="I848" s="142">
        <v>0</v>
      </c>
      <c r="J848" s="141">
        <v>0</v>
      </c>
      <c r="K848" s="141">
        <v>0</v>
      </c>
      <c r="T848">
        <v>1436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</row>
    <row r="849" spans="1:28" ht="14.25" x14ac:dyDescent="0.2">
      <c r="C849" s="35" t="s">
        <v>125</v>
      </c>
      <c r="D849" s="3"/>
      <c r="E849" s="139">
        <v>0</v>
      </c>
      <c r="F849" s="139">
        <v>0</v>
      </c>
      <c r="G849" s="140"/>
      <c r="H849" s="140"/>
      <c r="I849" s="140">
        <v>0</v>
      </c>
      <c r="J849" s="139">
        <v>0</v>
      </c>
      <c r="K849" s="139">
        <v>0</v>
      </c>
    </row>
    <row r="850" spans="1:28" ht="25.5" x14ac:dyDescent="0.2">
      <c r="C850" s="36" t="s">
        <v>1305</v>
      </c>
    </row>
    <row r="851" spans="1:28" ht="99.75" x14ac:dyDescent="0.2">
      <c r="A851" s="149" t="s">
        <v>277</v>
      </c>
      <c r="B851" s="149" t="s">
        <v>1396</v>
      </c>
      <c r="C851" s="145" t="s">
        <v>1397</v>
      </c>
      <c r="D851" s="3">
        <v>33.4</v>
      </c>
      <c r="E851" s="141">
        <v>17.32</v>
      </c>
      <c r="F851" s="141">
        <v>0</v>
      </c>
      <c r="G851" s="140">
        <v>578</v>
      </c>
      <c r="H851" s="140">
        <v>0</v>
      </c>
      <c r="I851" s="142">
        <v>0</v>
      </c>
      <c r="J851" s="141">
        <v>0</v>
      </c>
      <c r="K851" s="141">
        <v>0</v>
      </c>
      <c r="T851">
        <v>578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</row>
    <row r="852" spans="1:28" ht="14.25" x14ac:dyDescent="0.2">
      <c r="C852" s="35" t="s">
        <v>125</v>
      </c>
      <c r="D852" s="3"/>
      <c r="E852" s="139">
        <v>0</v>
      </c>
      <c r="F852" s="139">
        <v>0</v>
      </c>
      <c r="G852" s="140"/>
      <c r="H852" s="140"/>
      <c r="I852" s="140">
        <v>0</v>
      </c>
      <c r="J852" s="139">
        <v>0</v>
      </c>
      <c r="K852" s="139">
        <v>0</v>
      </c>
    </row>
    <row r="853" spans="1:28" ht="99.75" x14ac:dyDescent="0.2">
      <c r="A853" s="149" t="s">
        <v>278</v>
      </c>
      <c r="B853" s="149" t="s">
        <v>1398</v>
      </c>
      <c r="C853" s="145" t="s">
        <v>1111</v>
      </c>
      <c r="D853" s="3">
        <v>0.8</v>
      </c>
      <c r="E853" s="141">
        <v>2335.33</v>
      </c>
      <c r="F853" s="141">
        <v>39.72</v>
      </c>
      <c r="G853" s="140">
        <v>1869</v>
      </c>
      <c r="H853" s="140">
        <v>182</v>
      </c>
      <c r="I853" s="142">
        <v>32</v>
      </c>
      <c r="J853" s="141">
        <v>27.369999999999997</v>
      </c>
      <c r="K853" s="141">
        <v>21.896000000000001</v>
      </c>
      <c r="T853">
        <v>2168</v>
      </c>
      <c r="U853">
        <v>1655</v>
      </c>
      <c r="V853">
        <v>182</v>
      </c>
      <c r="W853">
        <v>32</v>
      </c>
      <c r="X853">
        <v>5</v>
      </c>
      <c r="Y853">
        <v>21.896000000000001</v>
      </c>
      <c r="Z853">
        <v>0.37000000000000005</v>
      </c>
      <c r="AA853">
        <v>199</v>
      </c>
      <c r="AB853">
        <v>100</v>
      </c>
    </row>
    <row r="854" spans="1:28" ht="14.25" x14ac:dyDescent="0.2">
      <c r="C854" s="35" t="s">
        <v>88</v>
      </c>
      <c r="D854" s="3"/>
      <c r="E854" s="139">
        <v>227.45</v>
      </c>
      <c r="F854" s="139">
        <v>5.73</v>
      </c>
      <c r="G854" s="140"/>
      <c r="H854" s="140"/>
      <c r="I854" s="140">
        <v>5</v>
      </c>
      <c r="J854" s="139">
        <v>0.46250000000000002</v>
      </c>
      <c r="K854" s="139">
        <v>0.37000000000000005</v>
      </c>
    </row>
    <row r="855" spans="1:28" x14ac:dyDescent="0.2">
      <c r="C855" s="36" t="s">
        <v>1306</v>
      </c>
    </row>
    <row r="856" spans="1:28" x14ac:dyDescent="0.2">
      <c r="C856" s="20" t="s">
        <v>89</v>
      </c>
      <c r="D856" s="37">
        <v>118</v>
      </c>
      <c r="E856" s="144">
        <v>247.63715999999997</v>
      </c>
      <c r="F856" s="37" t="s">
        <v>1176</v>
      </c>
      <c r="G856" s="143">
        <v>199</v>
      </c>
      <c r="H856" s="37" t="s">
        <v>164</v>
      </c>
      <c r="I856" s="37"/>
      <c r="J856" s="37"/>
      <c r="K856" s="37"/>
    </row>
    <row r="857" spans="1:28" x14ac:dyDescent="0.2">
      <c r="C857" s="20" t="s">
        <v>92</v>
      </c>
      <c r="D857" s="37">
        <v>63</v>
      </c>
      <c r="E857" s="144">
        <v>124.86788999999999</v>
      </c>
      <c r="F857" s="37" t="s">
        <v>1177</v>
      </c>
      <c r="G857" s="143">
        <v>100</v>
      </c>
      <c r="H857" s="37" t="s">
        <v>1178</v>
      </c>
      <c r="I857" s="37"/>
      <c r="J857" s="37"/>
      <c r="K857" s="37"/>
    </row>
    <row r="858" spans="1:28" x14ac:dyDescent="0.2">
      <c r="C858" s="20" t="s">
        <v>95</v>
      </c>
      <c r="D858" s="37"/>
      <c r="E858" s="144">
        <v>2707.8350499999997</v>
      </c>
      <c r="F858" s="37"/>
      <c r="G858" s="143">
        <v>2168</v>
      </c>
      <c r="H858" s="37"/>
      <c r="I858" s="37"/>
      <c r="J858" s="37"/>
      <c r="K858" s="37"/>
    </row>
    <row r="859" spans="1:28" ht="85.5" x14ac:dyDescent="0.2">
      <c r="A859" s="149" t="s">
        <v>279</v>
      </c>
      <c r="B859" s="149" t="s">
        <v>1399</v>
      </c>
      <c r="C859" s="145" t="s">
        <v>1400</v>
      </c>
      <c r="D859" s="3">
        <v>0.40500000000000003</v>
      </c>
      <c r="E859" s="141">
        <v>61.79</v>
      </c>
      <c r="F859" s="141">
        <v>1.31</v>
      </c>
      <c r="G859" s="140">
        <v>25</v>
      </c>
      <c r="H859" s="140">
        <v>24</v>
      </c>
      <c r="I859" s="142">
        <v>1</v>
      </c>
      <c r="J859" s="141">
        <v>7.09</v>
      </c>
      <c r="K859" s="141">
        <v>2.8714500000000003</v>
      </c>
      <c r="T859">
        <v>56</v>
      </c>
      <c r="U859">
        <v>0</v>
      </c>
      <c r="V859">
        <v>24</v>
      </c>
      <c r="W859">
        <v>1</v>
      </c>
      <c r="X859">
        <v>0</v>
      </c>
      <c r="Y859">
        <v>2.8714500000000003</v>
      </c>
      <c r="Z859">
        <v>8.1000000000000013E-3</v>
      </c>
      <c r="AA859">
        <v>19</v>
      </c>
      <c r="AB859">
        <v>12</v>
      </c>
    </row>
    <row r="860" spans="1:28" ht="14.25" x14ac:dyDescent="0.2">
      <c r="C860" s="35" t="s">
        <v>97</v>
      </c>
      <c r="D860" s="3"/>
      <c r="E860" s="139">
        <v>60.48</v>
      </c>
      <c r="F860" s="139">
        <v>0.23</v>
      </c>
      <c r="G860" s="140"/>
      <c r="H860" s="140"/>
      <c r="I860" s="140">
        <v>0</v>
      </c>
      <c r="J860" s="139">
        <v>0.02</v>
      </c>
      <c r="K860" s="139">
        <v>8.1000000000000013E-3</v>
      </c>
    </row>
    <row r="861" spans="1:28" ht="38.25" x14ac:dyDescent="0.2">
      <c r="C861" s="36" t="s">
        <v>1307</v>
      </c>
    </row>
    <row r="862" spans="1:28" x14ac:dyDescent="0.2">
      <c r="C862" s="20" t="s">
        <v>89</v>
      </c>
      <c r="D862" s="37">
        <v>78</v>
      </c>
      <c r="E862" s="144">
        <v>47.353799999999993</v>
      </c>
      <c r="F862" s="37"/>
      <c r="G862" s="143">
        <v>19</v>
      </c>
      <c r="H862" s="37" t="s">
        <v>220</v>
      </c>
      <c r="I862" s="37"/>
      <c r="J862" s="37"/>
      <c r="K862" s="37"/>
    </row>
    <row r="863" spans="1:28" x14ac:dyDescent="0.2">
      <c r="C863" s="20" t="s">
        <v>92</v>
      </c>
      <c r="D863" s="37">
        <v>50</v>
      </c>
      <c r="E863" s="144">
        <v>30.354999999999997</v>
      </c>
      <c r="F863" s="37"/>
      <c r="G863" s="143">
        <v>12</v>
      </c>
      <c r="H863" s="37" t="s">
        <v>185</v>
      </c>
      <c r="I863" s="37"/>
      <c r="J863" s="37"/>
      <c r="K863" s="37"/>
    </row>
    <row r="864" spans="1:28" x14ac:dyDescent="0.2">
      <c r="C864" s="20" t="s">
        <v>95</v>
      </c>
      <c r="D864" s="37"/>
      <c r="E864" s="144">
        <v>139.49879999999999</v>
      </c>
      <c r="F864" s="37"/>
      <c r="G864" s="143">
        <v>56</v>
      </c>
      <c r="H864" s="37"/>
      <c r="I864" s="37"/>
      <c r="J864" s="37"/>
      <c r="K864" s="37"/>
    </row>
    <row r="865" spans="1:28" ht="14.25" x14ac:dyDescent="0.2">
      <c r="A865" s="149" t="s">
        <v>280</v>
      </c>
      <c r="B865" s="149" t="s">
        <v>1146</v>
      </c>
      <c r="C865" s="145" t="s">
        <v>1309</v>
      </c>
      <c r="D865" s="3">
        <v>2.4300000000000002E-2</v>
      </c>
      <c r="E865" s="141">
        <v>0</v>
      </c>
      <c r="F865" s="141">
        <v>0</v>
      </c>
      <c r="G865" s="140">
        <v>0</v>
      </c>
      <c r="H865" s="140">
        <v>0</v>
      </c>
      <c r="I865" s="142">
        <v>0</v>
      </c>
      <c r="J865" s="141">
        <v>0</v>
      </c>
      <c r="K865" s="141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</row>
    <row r="866" spans="1:28" ht="14.25" x14ac:dyDescent="0.2">
      <c r="C866" s="35" t="s">
        <v>99</v>
      </c>
      <c r="D866" s="3"/>
      <c r="E866" s="139">
        <v>0</v>
      </c>
      <c r="F866" s="139">
        <v>0</v>
      </c>
      <c r="G866" s="140"/>
      <c r="H866" s="140"/>
      <c r="I866" s="140">
        <v>0</v>
      </c>
      <c r="J866" s="139">
        <v>0</v>
      </c>
      <c r="K866" s="139">
        <v>0</v>
      </c>
    </row>
    <row r="867" spans="1:28" ht="99.75" x14ac:dyDescent="0.2">
      <c r="A867" s="149" t="s">
        <v>281</v>
      </c>
      <c r="B867" s="149" t="s">
        <v>1401</v>
      </c>
      <c r="C867" s="145" t="s">
        <v>1310</v>
      </c>
      <c r="D867" s="3">
        <v>24.3</v>
      </c>
      <c r="E867" s="141">
        <v>15.16</v>
      </c>
      <c r="F867" s="141">
        <v>0</v>
      </c>
      <c r="G867" s="140">
        <v>368</v>
      </c>
      <c r="H867" s="140">
        <v>0</v>
      </c>
      <c r="I867" s="142">
        <v>0</v>
      </c>
      <c r="J867" s="141">
        <v>0</v>
      </c>
      <c r="K867" s="141">
        <v>0</v>
      </c>
      <c r="T867">
        <v>368</v>
      </c>
      <c r="U867">
        <v>368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</row>
    <row r="868" spans="1:28" ht="14.25" x14ac:dyDescent="0.2">
      <c r="C868" s="35" t="s">
        <v>175</v>
      </c>
      <c r="D868" s="3"/>
      <c r="E868" s="139">
        <v>0</v>
      </c>
      <c r="F868" s="139">
        <v>0</v>
      </c>
      <c r="G868" s="140"/>
      <c r="H868" s="140"/>
      <c r="I868" s="140">
        <v>0</v>
      </c>
      <c r="J868" s="139">
        <v>0</v>
      </c>
      <c r="K868" s="139">
        <v>0</v>
      </c>
    </row>
    <row r="869" spans="1:28" ht="85.5" x14ac:dyDescent="0.2">
      <c r="A869" s="149" t="s">
        <v>282</v>
      </c>
      <c r="B869" s="149" t="s">
        <v>1402</v>
      </c>
      <c r="C869" s="145" t="s">
        <v>1403</v>
      </c>
      <c r="D869" s="3">
        <v>0.27</v>
      </c>
      <c r="E869" s="141">
        <v>1473.96</v>
      </c>
      <c r="F869" s="141">
        <v>22.48</v>
      </c>
      <c r="G869" s="140">
        <v>398</v>
      </c>
      <c r="H869" s="140">
        <v>42</v>
      </c>
      <c r="I869" s="142">
        <v>6</v>
      </c>
      <c r="J869" s="141">
        <v>19.59</v>
      </c>
      <c r="K869" s="141">
        <v>5.2892999999999999</v>
      </c>
      <c r="T869">
        <v>464</v>
      </c>
      <c r="U869">
        <v>350</v>
      </c>
      <c r="V869">
        <v>42</v>
      </c>
      <c r="W869">
        <v>6</v>
      </c>
      <c r="X869">
        <v>2</v>
      </c>
      <c r="Y869">
        <v>5.2892999999999999</v>
      </c>
      <c r="Z869">
        <v>0.13770000000000002</v>
      </c>
      <c r="AA869">
        <v>37</v>
      </c>
      <c r="AB869">
        <v>29</v>
      </c>
    </row>
    <row r="870" spans="1:28" ht="14.25" x14ac:dyDescent="0.2">
      <c r="C870" s="35" t="s">
        <v>97</v>
      </c>
      <c r="D870" s="3"/>
      <c r="E870" s="139">
        <v>155.54</v>
      </c>
      <c r="F870" s="139">
        <v>6.52</v>
      </c>
      <c r="G870" s="140"/>
      <c r="H870" s="140"/>
      <c r="I870" s="140">
        <v>2</v>
      </c>
      <c r="J870" s="139">
        <v>0.51</v>
      </c>
      <c r="K870" s="139">
        <v>0.13770000000000002</v>
      </c>
    </row>
    <row r="871" spans="1:28" x14ac:dyDescent="0.2">
      <c r="C871" s="36" t="s">
        <v>1311</v>
      </c>
    </row>
    <row r="872" spans="1:28" x14ac:dyDescent="0.2">
      <c r="C872" s="20" t="s">
        <v>89</v>
      </c>
      <c r="D872" s="37">
        <v>83</v>
      </c>
      <c r="E872" s="144">
        <v>134.50979999999998</v>
      </c>
      <c r="F872" s="37"/>
      <c r="G872" s="143">
        <v>37</v>
      </c>
      <c r="H872" s="37" t="s">
        <v>223</v>
      </c>
      <c r="I872" s="37"/>
      <c r="J872" s="37"/>
      <c r="K872" s="37"/>
    </row>
    <row r="873" spans="1:28" x14ac:dyDescent="0.2">
      <c r="C873" s="20" t="s">
        <v>92</v>
      </c>
      <c r="D873" s="37">
        <v>65</v>
      </c>
      <c r="E873" s="144">
        <v>105.339</v>
      </c>
      <c r="F873" s="37"/>
      <c r="G873" s="143">
        <v>29</v>
      </c>
      <c r="H873" s="37" t="s">
        <v>202</v>
      </c>
      <c r="I873" s="37"/>
      <c r="J873" s="37"/>
      <c r="K873" s="37"/>
    </row>
    <row r="874" spans="1:28" x14ac:dyDescent="0.2">
      <c r="C874" s="20" t="s">
        <v>95</v>
      </c>
      <c r="D874" s="37"/>
      <c r="E874" s="144">
        <v>1713.8088</v>
      </c>
      <c r="F874" s="37"/>
      <c r="G874" s="143">
        <v>464</v>
      </c>
      <c r="H874" s="37"/>
      <c r="I874" s="37"/>
      <c r="J874" s="37"/>
      <c r="K874" s="37"/>
    </row>
    <row r="875" spans="1:28" ht="105" x14ac:dyDescent="0.2">
      <c r="A875" s="149" t="s">
        <v>283</v>
      </c>
      <c r="B875" s="149" t="s">
        <v>1404</v>
      </c>
      <c r="C875" s="145" t="s">
        <v>1358</v>
      </c>
      <c r="D875" s="3">
        <v>1.8109999999999999</v>
      </c>
      <c r="E875" s="141">
        <v>959.06</v>
      </c>
      <c r="F875" s="141">
        <v>37.799999999999997</v>
      </c>
      <c r="G875" s="140">
        <v>1736</v>
      </c>
      <c r="H875" s="140">
        <v>126</v>
      </c>
      <c r="I875" s="142">
        <v>68</v>
      </c>
      <c r="J875" s="141">
        <v>7.9809999999999999</v>
      </c>
      <c r="K875" s="141">
        <v>14.453590999999999</v>
      </c>
      <c r="T875">
        <v>1952</v>
      </c>
      <c r="U875">
        <v>1542</v>
      </c>
      <c r="V875">
        <v>126</v>
      </c>
      <c r="W875">
        <v>68</v>
      </c>
      <c r="X875">
        <v>6</v>
      </c>
      <c r="Y875">
        <v>14.453590999999999</v>
      </c>
      <c r="Z875">
        <v>0.47538750000000002</v>
      </c>
      <c r="AA875">
        <v>143</v>
      </c>
      <c r="AB875">
        <v>73</v>
      </c>
    </row>
    <row r="876" spans="1:28" ht="14.25" x14ac:dyDescent="0.2">
      <c r="C876" s="35" t="s">
        <v>97</v>
      </c>
      <c r="D876" s="3"/>
      <c r="E876" s="139">
        <v>69.760000000000005</v>
      </c>
      <c r="F876" s="139">
        <v>3.36</v>
      </c>
      <c r="G876" s="140"/>
      <c r="H876" s="140"/>
      <c r="I876" s="140">
        <v>6</v>
      </c>
      <c r="J876" s="139">
        <v>0.26250000000000001</v>
      </c>
      <c r="K876" s="139">
        <v>0.47538750000000002</v>
      </c>
    </row>
    <row r="877" spans="1:28" x14ac:dyDescent="0.2">
      <c r="C877" s="36" t="s">
        <v>1312</v>
      </c>
    </row>
    <row r="878" spans="1:28" x14ac:dyDescent="0.2">
      <c r="C878" s="20" t="s">
        <v>89</v>
      </c>
      <c r="D878" s="37">
        <v>120</v>
      </c>
      <c r="E878" s="144">
        <v>78.969600000000014</v>
      </c>
      <c r="F878" s="37" t="s">
        <v>1204</v>
      </c>
      <c r="G878" s="143">
        <v>143</v>
      </c>
      <c r="H878" s="37" t="s">
        <v>188</v>
      </c>
      <c r="I878" s="37"/>
      <c r="J878" s="37"/>
      <c r="K878" s="37"/>
    </row>
    <row r="879" spans="1:28" x14ac:dyDescent="0.2">
      <c r="C879" s="20" t="s">
        <v>92</v>
      </c>
      <c r="D879" s="37">
        <v>65</v>
      </c>
      <c r="E879" s="144">
        <v>40.398800000000001</v>
      </c>
      <c r="F879" s="37" t="s">
        <v>1205</v>
      </c>
      <c r="G879" s="143">
        <v>73</v>
      </c>
      <c r="H879" s="37" t="s">
        <v>1206</v>
      </c>
      <c r="I879" s="37"/>
      <c r="J879" s="37"/>
      <c r="K879" s="37"/>
    </row>
    <row r="880" spans="1:28" x14ac:dyDescent="0.2">
      <c r="C880" s="20" t="s">
        <v>95</v>
      </c>
      <c r="D880" s="37"/>
      <c r="E880" s="144">
        <v>1078.4284</v>
      </c>
      <c r="F880" s="37"/>
      <c r="G880" s="143">
        <v>1952</v>
      </c>
      <c r="H880" s="37"/>
      <c r="I880" s="37"/>
      <c r="J880" s="37"/>
      <c r="K880" s="37"/>
    </row>
    <row r="881" spans="1:28" ht="105" x14ac:dyDescent="0.2">
      <c r="A881" s="149" t="s">
        <v>284</v>
      </c>
      <c r="B881" s="149" t="s">
        <v>1405</v>
      </c>
      <c r="C881" s="145" t="s">
        <v>1353</v>
      </c>
      <c r="D881" s="3">
        <v>1.5860000000000001</v>
      </c>
      <c r="E881" s="141">
        <v>515.53</v>
      </c>
      <c r="F881" s="141">
        <v>237.42</v>
      </c>
      <c r="G881" s="140">
        <v>818</v>
      </c>
      <c r="H881" s="140">
        <v>383</v>
      </c>
      <c r="I881" s="142">
        <v>377</v>
      </c>
      <c r="J881" s="141">
        <v>27.945</v>
      </c>
      <c r="K881" s="141">
        <v>44.320770000000003</v>
      </c>
      <c r="T881">
        <v>1513</v>
      </c>
      <c r="U881">
        <v>58</v>
      </c>
      <c r="V881">
        <v>383</v>
      </c>
      <c r="W881">
        <v>377</v>
      </c>
      <c r="X881">
        <v>43</v>
      </c>
      <c r="Y881">
        <v>44.320770000000003</v>
      </c>
      <c r="Z881">
        <v>3.84605</v>
      </c>
      <c r="AA881">
        <v>460</v>
      </c>
      <c r="AB881">
        <v>235</v>
      </c>
    </row>
    <row r="882" spans="1:28" ht="14.25" x14ac:dyDescent="0.2">
      <c r="C882" s="35" t="s">
        <v>97</v>
      </c>
      <c r="D882" s="3"/>
      <c r="E882" s="139">
        <v>241.44</v>
      </c>
      <c r="F882" s="139">
        <v>27.33</v>
      </c>
      <c r="G882" s="140"/>
      <c r="H882" s="140"/>
      <c r="I882" s="140">
        <v>43</v>
      </c>
      <c r="J882" s="139">
        <v>2.4249999999999998</v>
      </c>
      <c r="K882" s="139">
        <v>3.84605</v>
      </c>
    </row>
    <row r="883" spans="1:28" x14ac:dyDescent="0.2">
      <c r="C883" s="36" t="s">
        <v>1313</v>
      </c>
    </row>
    <row r="884" spans="1:28" x14ac:dyDescent="0.2">
      <c r="C884" s="20" t="s">
        <v>89</v>
      </c>
      <c r="D884" s="37">
        <v>120</v>
      </c>
      <c r="E884" s="144">
        <v>290.27159999999998</v>
      </c>
      <c r="F884" s="37" t="s">
        <v>1204</v>
      </c>
      <c r="G884" s="143">
        <v>460</v>
      </c>
      <c r="H884" s="37" t="s">
        <v>188</v>
      </c>
      <c r="I884" s="37"/>
      <c r="J884" s="37"/>
      <c r="K884" s="37"/>
    </row>
    <row r="885" spans="1:28" x14ac:dyDescent="0.2">
      <c r="C885" s="20" t="s">
        <v>92</v>
      </c>
      <c r="D885" s="37">
        <v>65</v>
      </c>
      <c r="E885" s="144">
        <v>148.49542499999998</v>
      </c>
      <c r="F885" s="37" t="s">
        <v>1205</v>
      </c>
      <c r="G885" s="143">
        <v>235</v>
      </c>
      <c r="H885" s="37" t="s">
        <v>1206</v>
      </c>
      <c r="I885" s="37"/>
      <c r="J885" s="37"/>
      <c r="K885" s="37"/>
    </row>
    <row r="886" spans="1:28" x14ac:dyDescent="0.2">
      <c r="C886" s="20" t="s">
        <v>95</v>
      </c>
      <c r="D886" s="37"/>
      <c r="E886" s="144">
        <v>954.29702499999996</v>
      </c>
      <c r="F886" s="37"/>
      <c r="G886" s="143">
        <v>1513</v>
      </c>
      <c r="H886" s="37"/>
      <c r="I886" s="37"/>
      <c r="J886" s="37"/>
      <c r="K886" s="37"/>
    </row>
    <row r="887" spans="1:28" ht="28.5" x14ac:dyDescent="0.2">
      <c r="A887" s="149" t="s">
        <v>1406</v>
      </c>
      <c r="B887" s="149" t="s">
        <v>1146</v>
      </c>
      <c r="C887" s="145" t="s">
        <v>1215</v>
      </c>
      <c r="D887" s="3">
        <v>2.42658</v>
      </c>
      <c r="E887" s="141">
        <v>0</v>
      </c>
      <c r="F887" s="141">
        <v>0</v>
      </c>
      <c r="G887" s="140">
        <v>0</v>
      </c>
      <c r="H887" s="140">
        <v>0</v>
      </c>
      <c r="I887" s="142">
        <v>0</v>
      </c>
      <c r="J887" s="141">
        <v>0</v>
      </c>
      <c r="K887" s="141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</row>
    <row r="888" spans="1:28" ht="14.25" x14ac:dyDescent="0.2">
      <c r="C888" s="35" t="s">
        <v>88</v>
      </c>
      <c r="D888" s="3"/>
      <c r="E888" s="139">
        <v>0</v>
      </c>
      <c r="F888" s="139">
        <v>0</v>
      </c>
      <c r="G888" s="140"/>
      <c r="H888" s="140"/>
      <c r="I888" s="140">
        <v>0</v>
      </c>
      <c r="J888" s="139">
        <v>0</v>
      </c>
      <c r="K888" s="139">
        <v>0</v>
      </c>
    </row>
    <row r="889" spans="1:28" ht="99.75" x14ac:dyDescent="0.2">
      <c r="A889" s="149" t="s">
        <v>285</v>
      </c>
      <c r="B889" s="149" t="s">
        <v>1407</v>
      </c>
      <c r="C889" s="145" t="s">
        <v>1155</v>
      </c>
      <c r="D889" s="3">
        <v>2.427</v>
      </c>
      <c r="E889" s="141">
        <v>519.79999999999995</v>
      </c>
      <c r="F889" s="141">
        <v>0</v>
      </c>
      <c r="G889" s="140">
        <v>1262</v>
      </c>
      <c r="H889" s="140">
        <v>0</v>
      </c>
      <c r="I889" s="142">
        <v>0</v>
      </c>
      <c r="J889" s="141">
        <v>0</v>
      </c>
      <c r="K889" s="141">
        <v>0</v>
      </c>
      <c r="T889">
        <v>1262</v>
      </c>
      <c r="U889">
        <v>1262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</row>
    <row r="890" spans="1:28" ht="14.25" x14ac:dyDescent="0.2">
      <c r="C890" s="35" t="s">
        <v>88</v>
      </c>
      <c r="D890" s="3"/>
      <c r="E890" s="139">
        <v>0</v>
      </c>
      <c r="F890" s="139">
        <v>0</v>
      </c>
      <c r="G890" s="140"/>
      <c r="H890" s="140"/>
      <c r="I890" s="140">
        <v>0</v>
      </c>
      <c r="J890" s="139">
        <v>0</v>
      </c>
      <c r="K890" s="139">
        <v>0</v>
      </c>
    </row>
    <row r="891" spans="1:28" ht="146.25" x14ac:dyDescent="0.2">
      <c r="A891" s="149" t="s">
        <v>286</v>
      </c>
      <c r="B891" s="149" t="s">
        <v>1408</v>
      </c>
      <c r="C891" s="145" t="s">
        <v>1352</v>
      </c>
      <c r="D891" s="3">
        <v>1.5860000000000001</v>
      </c>
      <c r="E891" s="141">
        <v>198.92</v>
      </c>
      <c r="F891" s="141">
        <v>49.88</v>
      </c>
      <c r="G891" s="140">
        <v>315</v>
      </c>
      <c r="H891" s="140">
        <v>236</v>
      </c>
      <c r="I891" s="142">
        <v>79</v>
      </c>
      <c r="J891" s="141">
        <v>17.25</v>
      </c>
      <c r="K891" s="141">
        <v>27.358500000000003</v>
      </c>
      <c r="T891">
        <v>717</v>
      </c>
      <c r="U891">
        <v>0</v>
      </c>
      <c r="V891">
        <v>236</v>
      </c>
      <c r="W891">
        <v>79</v>
      </c>
      <c r="X891">
        <v>10</v>
      </c>
      <c r="Y891">
        <v>27.358500000000003</v>
      </c>
      <c r="Z891">
        <v>0.89212500000000006</v>
      </c>
      <c r="AA891">
        <v>266</v>
      </c>
      <c r="AB891">
        <v>136</v>
      </c>
    </row>
    <row r="892" spans="1:28" ht="14.25" x14ac:dyDescent="0.2">
      <c r="C892" s="35" t="s">
        <v>97</v>
      </c>
      <c r="D892" s="3"/>
      <c r="E892" s="139">
        <v>149.04</v>
      </c>
      <c r="F892" s="139">
        <v>6.38</v>
      </c>
      <c r="G892" s="140"/>
      <c r="H892" s="140"/>
      <c r="I892" s="140">
        <v>10</v>
      </c>
      <c r="J892" s="139">
        <v>0.5625</v>
      </c>
      <c r="K892" s="139">
        <v>0.89212500000000006</v>
      </c>
    </row>
    <row r="893" spans="1:28" x14ac:dyDescent="0.2">
      <c r="C893" s="36" t="s">
        <v>1313</v>
      </c>
    </row>
    <row r="894" spans="1:28" x14ac:dyDescent="0.2">
      <c r="C894" s="20" t="s">
        <v>89</v>
      </c>
      <c r="D894" s="37">
        <v>120</v>
      </c>
      <c r="E894" s="144">
        <v>167.85359999999997</v>
      </c>
      <c r="F894" s="37" t="s">
        <v>1204</v>
      </c>
      <c r="G894" s="143">
        <v>266</v>
      </c>
      <c r="H894" s="37" t="s">
        <v>188</v>
      </c>
      <c r="I894" s="37"/>
      <c r="J894" s="37"/>
      <c r="K894" s="37"/>
    </row>
    <row r="895" spans="1:28" x14ac:dyDescent="0.2">
      <c r="C895" s="20" t="s">
        <v>92</v>
      </c>
      <c r="D895" s="37">
        <v>65</v>
      </c>
      <c r="E895" s="144">
        <v>85.869550000000004</v>
      </c>
      <c r="F895" s="37" t="s">
        <v>1205</v>
      </c>
      <c r="G895" s="143">
        <v>136</v>
      </c>
      <c r="H895" s="37" t="s">
        <v>1206</v>
      </c>
      <c r="I895" s="37"/>
      <c r="J895" s="37"/>
      <c r="K895" s="37"/>
    </row>
    <row r="896" spans="1:28" x14ac:dyDescent="0.2">
      <c r="C896" s="20" t="s">
        <v>95</v>
      </c>
      <c r="D896" s="37"/>
      <c r="E896" s="144">
        <v>452.64314999999999</v>
      </c>
      <c r="F896" s="37"/>
      <c r="G896" s="143">
        <v>717</v>
      </c>
      <c r="H896" s="37"/>
      <c r="I896" s="37"/>
      <c r="J896" s="37"/>
      <c r="K896" s="37"/>
    </row>
    <row r="897" spans="1:28" ht="28.5" x14ac:dyDescent="0.2">
      <c r="A897" s="149" t="s">
        <v>1308</v>
      </c>
      <c r="B897" s="149" t="s">
        <v>1146</v>
      </c>
      <c r="C897" s="145" t="s">
        <v>1215</v>
      </c>
      <c r="D897" s="3">
        <v>2.42658</v>
      </c>
      <c r="E897" s="141">
        <v>0</v>
      </c>
      <c r="F897" s="141">
        <v>0</v>
      </c>
      <c r="G897" s="140">
        <v>0</v>
      </c>
      <c r="H897" s="140">
        <v>0</v>
      </c>
      <c r="I897" s="142">
        <v>0</v>
      </c>
      <c r="J897" s="141">
        <v>0</v>
      </c>
      <c r="K897" s="141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</row>
    <row r="898" spans="1:28" ht="14.25" x14ac:dyDescent="0.2">
      <c r="C898" s="35" t="s">
        <v>88</v>
      </c>
      <c r="D898" s="3"/>
      <c r="E898" s="139">
        <v>0</v>
      </c>
      <c r="F898" s="139">
        <v>0</v>
      </c>
      <c r="G898" s="140"/>
      <c r="H898" s="140"/>
      <c r="I898" s="140">
        <v>0</v>
      </c>
      <c r="J898" s="139">
        <v>0</v>
      </c>
      <c r="K898" s="139">
        <v>0</v>
      </c>
    </row>
    <row r="899" spans="1:28" ht="99.75" x14ac:dyDescent="0.2">
      <c r="A899" s="149" t="s">
        <v>287</v>
      </c>
      <c r="B899" s="149" t="s">
        <v>1407</v>
      </c>
      <c r="C899" s="145" t="s">
        <v>1155</v>
      </c>
      <c r="D899" s="3">
        <v>2.427</v>
      </c>
      <c r="E899" s="141">
        <v>519.79999999999995</v>
      </c>
      <c r="F899" s="141">
        <v>0</v>
      </c>
      <c r="G899" s="140">
        <v>1262</v>
      </c>
      <c r="H899" s="140">
        <v>0</v>
      </c>
      <c r="I899" s="142">
        <v>0</v>
      </c>
      <c r="J899" s="141">
        <v>0</v>
      </c>
      <c r="K899" s="141">
        <v>0</v>
      </c>
      <c r="T899">
        <v>1262</v>
      </c>
      <c r="U899">
        <v>1262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</row>
    <row r="900" spans="1:28" ht="14.25" x14ac:dyDescent="0.2">
      <c r="C900" s="35" t="s">
        <v>88</v>
      </c>
      <c r="D900" s="3"/>
      <c r="E900" s="139">
        <v>0</v>
      </c>
      <c r="F900" s="139">
        <v>0</v>
      </c>
      <c r="G900" s="140"/>
      <c r="H900" s="140"/>
      <c r="I900" s="140">
        <v>0</v>
      </c>
      <c r="J900" s="139">
        <v>0</v>
      </c>
      <c r="K900" s="139">
        <v>0</v>
      </c>
    </row>
    <row r="901" spans="1:28" ht="99.75" x14ac:dyDescent="0.2">
      <c r="A901" s="149" t="s">
        <v>288</v>
      </c>
      <c r="B901" s="149" t="s">
        <v>1409</v>
      </c>
      <c r="C901" s="145" t="s">
        <v>1357</v>
      </c>
      <c r="D901" s="3">
        <v>4.4999999999999998E-2</v>
      </c>
      <c r="E901" s="141">
        <v>5490.62</v>
      </c>
      <c r="F901" s="141">
        <v>73.930000000000007</v>
      </c>
      <c r="G901" s="140">
        <v>247</v>
      </c>
      <c r="H901" s="140">
        <v>63</v>
      </c>
      <c r="I901" s="142">
        <v>3</v>
      </c>
      <c r="J901" s="141">
        <v>164.45</v>
      </c>
      <c r="K901" s="141">
        <v>7.4002499999999989</v>
      </c>
      <c r="T901">
        <v>349</v>
      </c>
      <c r="U901">
        <v>181</v>
      </c>
      <c r="V901">
        <v>63</v>
      </c>
      <c r="W901">
        <v>3</v>
      </c>
      <c r="X901">
        <v>1</v>
      </c>
      <c r="Y901">
        <v>7.4002499999999989</v>
      </c>
      <c r="Z901">
        <v>5.0624999999999996E-2</v>
      </c>
      <c r="AA901">
        <v>68</v>
      </c>
      <c r="AB901">
        <v>34</v>
      </c>
    </row>
    <row r="902" spans="1:28" ht="14.25" x14ac:dyDescent="0.2">
      <c r="C902" s="35" t="s">
        <v>97</v>
      </c>
      <c r="D902" s="3"/>
      <c r="E902" s="139">
        <v>1402.76</v>
      </c>
      <c r="F902" s="139">
        <v>13.05</v>
      </c>
      <c r="G902" s="140"/>
      <c r="H902" s="140"/>
      <c r="I902" s="140">
        <v>1</v>
      </c>
      <c r="J902" s="139">
        <v>1.125</v>
      </c>
      <c r="K902" s="139">
        <v>5.0624999999999996E-2</v>
      </c>
    </row>
    <row r="903" spans="1:28" x14ac:dyDescent="0.2">
      <c r="C903" s="36" t="s">
        <v>1314</v>
      </c>
    </row>
    <row r="904" spans="1:28" x14ac:dyDescent="0.2">
      <c r="C904" s="20" t="s">
        <v>89</v>
      </c>
      <c r="D904" s="37">
        <v>118</v>
      </c>
      <c r="E904" s="144">
        <v>1503.59022</v>
      </c>
      <c r="F904" s="37" t="s">
        <v>1176</v>
      </c>
      <c r="G904" s="143">
        <v>68</v>
      </c>
      <c r="H904" s="37" t="s">
        <v>164</v>
      </c>
      <c r="I904" s="37"/>
      <c r="J904" s="37"/>
      <c r="K904" s="37"/>
    </row>
    <row r="905" spans="1:28" x14ac:dyDescent="0.2">
      <c r="C905" s="20" t="s">
        <v>92</v>
      </c>
      <c r="D905" s="37">
        <v>63</v>
      </c>
      <c r="E905" s="144">
        <v>758.16625499999998</v>
      </c>
      <c r="F905" s="37" t="s">
        <v>1177</v>
      </c>
      <c r="G905" s="143">
        <v>34</v>
      </c>
      <c r="H905" s="37" t="s">
        <v>1178</v>
      </c>
      <c r="I905" s="37"/>
      <c r="J905" s="37"/>
      <c r="K905" s="37"/>
    </row>
    <row r="906" spans="1:28" x14ac:dyDescent="0.2">
      <c r="C906" s="20" t="s">
        <v>95</v>
      </c>
      <c r="D906" s="37"/>
      <c r="E906" s="144">
        <v>7752.376475</v>
      </c>
      <c r="F906" s="37"/>
      <c r="G906" s="143">
        <v>349</v>
      </c>
      <c r="H906" s="37"/>
      <c r="I906" s="37"/>
      <c r="J906" s="37"/>
      <c r="K906" s="37"/>
    </row>
    <row r="907" spans="1:28" ht="133.5" x14ac:dyDescent="0.2">
      <c r="A907" s="149" t="s">
        <v>289</v>
      </c>
      <c r="B907" s="149" t="s">
        <v>1410</v>
      </c>
      <c r="C907" s="145" t="s">
        <v>1356</v>
      </c>
      <c r="D907" s="3">
        <v>0.27</v>
      </c>
      <c r="E907" s="141">
        <v>504.82</v>
      </c>
      <c r="F907" s="141">
        <v>40.64</v>
      </c>
      <c r="G907" s="140">
        <v>137</v>
      </c>
      <c r="H907" s="140">
        <v>105</v>
      </c>
      <c r="I907" s="142">
        <v>11</v>
      </c>
      <c r="J907" s="141">
        <v>43.734499999999997</v>
      </c>
      <c r="K907" s="141">
        <v>11.808315</v>
      </c>
      <c r="T907">
        <v>312</v>
      </c>
      <c r="U907">
        <v>21</v>
      </c>
      <c r="V907">
        <v>105</v>
      </c>
      <c r="W907">
        <v>11</v>
      </c>
      <c r="X907">
        <v>2</v>
      </c>
      <c r="Y907">
        <v>11.808315</v>
      </c>
      <c r="Z907">
        <v>0.12487500000000001</v>
      </c>
      <c r="AA907">
        <v>116</v>
      </c>
      <c r="AB907">
        <v>59</v>
      </c>
    </row>
    <row r="908" spans="1:28" ht="14.25" x14ac:dyDescent="0.2">
      <c r="C908" s="35" t="s">
        <v>97</v>
      </c>
      <c r="D908" s="3"/>
      <c r="E908" s="139">
        <v>387.49</v>
      </c>
      <c r="F908" s="139">
        <v>5.84</v>
      </c>
      <c r="G908" s="140"/>
      <c r="H908" s="140"/>
      <c r="I908" s="140">
        <v>2</v>
      </c>
      <c r="J908" s="139">
        <v>0.46250000000000002</v>
      </c>
      <c r="K908" s="139">
        <v>0.12487500000000001</v>
      </c>
    </row>
    <row r="909" spans="1:28" x14ac:dyDescent="0.2">
      <c r="C909" s="36" t="s">
        <v>1311</v>
      </c>
    </row>
    <row r="910" spans="1:28" x14ac:dyDescent="0.2">
      <c r="C910" s="20" t="s">
        <v>89</v>
      </c>
      <c r="D910" s="37">
        <v>120</v>
      </c>
      <c r="E910" s="144">
        <v>424.79640000000001</v>
      </c>
      <c r="F910" s="37" t="s">
        <v>1204</v>
      </c>
      <c r="G910" s="143">
        <v>116</v>
      </c>
      <c r="H910" s="37" t="s">
        <v>188</v>
      </c>
      <c r="I910" s="37"/>
      <c r="J910" s="37"/>
      <c r="K910" s="37"/>
    </row>
    <row r="911" spans="1:28" x14ac:dyDescent="0.2">
      <c r="C911" s="20" t="s">
        <v>92</v>
      </c>
      <c r="D911" s="37">
        <v>65</v>
      </c>
      <c r="E911" s="144">
        <v>217.31482499999998</v>
      </c>
      <c r="F911" s="37" t="s">
        <v>1205</v>
      </c>
      <c r="G911" s="143">
        <v>59</v>
      </c>
      <c r="H911" s="37" t="s">
        <v>1206</v>
      </c>
      <c r="I911" s="37"/>
      <c r="J911" s="37"/>
      <c r="K911" s="37"/>
    </row>
    <row r="912" spans="1:28" x14ac:dyDescent="0.2">
      <c r="C912" s="20" t="s">
        <v>95</v>
      </c>
      <c r="D912" s="37"/>
      <c r="E912" s="144">
        <v>1146.931225</v>
      </c>
      <c r="F912" s="37"/>
      <c r="G912" s="143">
        <v>312</v>
      </c>
      <c r="H912" s="37"/>
      <c r="I912" s="37"/>
      <c r="J912" s="37"/>
      <c r="K912" s="37"/>
    </row>
    <row r="913" spans="1:28" ht="114" x14ac:dyDescent="0.2">
      <c r="A913" s="149" t="s">
        <v>1411</v>
      </c>
      <c r="B913" s="149" t="s">
        <v>1412</v>
      </c>
      <c r="C913" s="145" t="s">
        <v>1413</v>
      </c>
      <c r="D913" s="3">
        <v>0.90990000000000004</v>
      </c>
      <c r="E913" s="141">
        <v>1</v>
      </c>
      <c r="F913" s="141">
        <v>0</v>
      </c>
      <c r="G913" s="140">
        <v>1</v>
      </c>
      <c r="H913" s="140">
        <v>0</v>
      </c>
      <c r="I913" s="142">
        <v>0</v>
      </c>
      <c r="J913" s="141">
        <v>0</v>
      </c>
      <c r="K913" s="141">
        <v>0</v>
      </c>
      <c r="T913">
        <v>1</v>
      </c>
      <c r="U913">
        <v>1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</row>
    <row r="914" spans="1:28" ht="14.25" x14ac:dyDescent="0.2">
      <c r="C914" s="35" t="s">
        <v>1414</v>
      </c>
      <c r="D914" s="3"/>
      <c r="E914" s="139">
        <v>0</v>
      </c>
      <c r="F914" s="139">
        <v>0</v>
      </c>
      <c r="G914" s="140"/>
      <c r="H914" s="140"/>
      <c r="I914" s="140">
        <v>0</v>
      </c>
      <c r="J914" s="139">
        <v>0</v>
      </c>
      <c r="K914" s="139">
        <v>0</v>
      </c>
    </row>
    <row r="915" spans="1:28" ht="114" x14ac:dyDescent="0.2">
      <c r="A915" s="149" t="s">
        <v>290</v>
      </c>
      <c r="B915" s="149" t="s">
        <v>1415</v>
      </c>
      <c r="C915" s="145" t="s">
        <v>1416</v>
      </c>
      <c r="D915" s="3">
        <v>4</v>
      </c>
      <c r="E915" s="141">
        <v>72.81</v>
      </c>
      <c r="F915" s="141">
        <v>0</v>
      </c>
      <c r="G915" s="140">
        <v>291</v>
      </c>
      <c r="H915" s="140">
        <v>0</v>
      </c>
      <c r="I915" s="142">
        <v>0</v>
      </c>
      <c r="J915" s="141">
        <v>0</v>
      </c>
      <c r="K915" s="141">
        <v>0</v>
      </c>
      <c r="T915">
        <v>291</v>
      </c>
      <c r="U915">
        <v>291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</row>
    <row r="916" spans="1:28" ht="14.25" x14ac:dyDescent="0.2">
      <c r="C916" s="35" t="s">
        <v>158</v>
      </c>
      <c r="D916" s="3"/>
      <c r="E916" s="139">
        <v>0</v>
      </c>
      <c r="F916" s="139">
        <v>0</v>
      </c>
      <c r="G916" s="140"/>
      <c r="H916" s="140"/>
      <c r="I916" s="140">
        <v>0</v>
      </c>
      <c r="J916" s="139">
        <v>0</v>
      </c>
      <c r="K916" s="139">
        <v>0</v>
      </c>
    </row>
    <row r="917" spans="1:28" x14ac:dyDescent="0.2">
      <c r="C917" s="36" t="s">
        <v>1315</v>
      </c>
    </row>
    <row r="918" spans="1:28" ht="114" x14ac:dyDescent="0.2">
      <c r="A918" s="149" t="s">
        <v>291</v>
      </c>
      <c r="B918" s="149" t="s">
        <v>1417</v>
      </c>
      <c r="C918" s="145" t="s">
        <v>1418</v>
      </c>
      <c r="D918" s="3">
        <v>4</v>
      </c>
      <c r="E918" s="141">
        <v>123.32</v>
      </c>
      <c r="F918" s="141">
        <v>0</v>
      </c>
      <c r="G918" s="140">
        <v>493</v>
      </c>
      <c r="H918" s="140">
        <v>0</v>
      </c>
      <c r="I918" s="142">
        <v>0</v>
      </c>
      <c r="J918" s="141">
        <v>0</v>
      </c>
      <c r="K918" s="141">
        <v>0</v>
      </c>
      <c r="T918">
        <v>493</v>
      </c>
      <c r="U918">
        <v>493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</row>
    <row r="919" spans="1:28" ht="14.25" x14ac:dyDescent="0.2">
      <c r="C919" s="35" t="s">
        <v>158</v>
      </c>
      <c r="D919" s="3"/>
      <c r="E919" s="139">
        <v>0</v>
      </c>
      <c r="F919" s="139">
        <v>0</v>
      </c>
      <c r="G919" s="140"/>
      <c r="H919" s="140"/>
      <c r="I919" s="140">
        <v>0</v>
      </c>
      <c r="J919" s="139">
        <v>0</v>
      </c>
      <c r="K919" s="139">
        <v>0</v>
      </c>
    </row>
    <row r="920" spans="1:28" ht="114" x14ac:dyDescent="0.2">
      <c r="A920" s="149" t="s">
        <v>292</v>
      </c>
      <c r="B920" s="149" t="s">
        <v>1419</v>
      </c>
      <c r="C920" s="145" t="s">
        <v>1420</v>
      </c>
      <c r="D920" s="3">
        <v>3</v>
      </c>
      <c r="E920" s="141">
        <v>84.42</v>
      </c>
      <c r="F920" s="141">
        <v>0</v>
      </c>
      <c r="G920" s="140">
        <v>253</v>
      </c>
      <c r="H920" s="140">
        <v>0</v>
      </c>
      <c r="I920" s="142">
        <v>0</v>
      </c>
      <c r="J920" s="141">
        <v>0</v>
      </c>
      <c r="K920" s="141">
        <v>0</v>
      </c>
      <c r="T920">
        <v>253</v>
      </c>
      <c r="U920">
        <v>253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</row>
    <row r="921" spans="1:28" ht="14.25" x14ac:dyDescent="0.2">
      <c r="C921" s="35" t="s">
        <v>158</v>
      </c>
      <c r="D921" s="3"/>
      <c r="E921" s="139">
        <v>0</v>
      </c>
      <c r="F921" s="139">
        <v>0</v>
      </c>
      <c r="G921" s="140"/>
      <c r="H921" s="140"/>
      <c r="I921" s="140">
        <v>0</v>
      </c>
      <c r="J921" s="139">
        <v>0</v>
      </c>
      <c r="K921" s="139">
        <v>0</v>
      </c>
    </row>
    <row r="922" spans="1:28" x14ac:dyDescent="0.2">
      <c r="C922" s="36" t="s">
        <v>1316</v>
      </c>
    </row>
    <row r="923" spans="1:28" ht="114" x14ac:dyDescent="0.2">
      <c r="A923" s="149" t="s">
        <v>293</v>
      </c>
      <c r="B923" s="149" t="s">
        <v>1419</v>
      </c>
      <c r="C923" s="145" t="s">
        <v>1421</v>
      </c>
      <c r="D923" s="3">
        <v>4</v>
      </c>
      <c r="E923" s="141">
        <v>84.42</v>
      </c>
      <c r="F923" s="141">
        <v>0</v>
      </c>
      <c r="G923" s="140">
        <v>338</v>
      </c>
      <c r="H923" s="140">
        <v>0</v>
      </c>
      <c r="I923" s="142">
        <v>0</v>
      </c>
      <c r="J923" s="141">
        <v>0</v>
      </c>
      <c r="K923" s="141">
        <v>0</v>
      </c>
      <c r="T923">
        <v>338</v>
      </c>
      <c r="U923">
        <v>338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</row>
    <row r="924" spans="1:28" ht="14.25" x14ac:dyDescent="0.2">
      <c r="C924" s="35" t="s">
        <v>158</v>
      </c>
      <c r="D924" s="3"/>
      <c r="E924" s="139">
        <v>0</v>
      </c>
      <c r="F924" s="139">
        <v>0</v>
      </c>
      <c r="G924" s="140"/>
      <c r="H924" s="140"/>
      <c r="I924" s="140">
        <v>0</v>
      </c>
      <c r="J924" s="139">
        <v>0</v>
      </c>
      <c r="K924" s="139">
        <v>0</v>
      </c>
    </row>
    <row r="925" spans="1:28" x14ac:dyDescent="0.2">
      <c r="C925" s="36" t="s">
        <v>1315</v>
      </c>
    </row>
    <row r="926" spans="1:28" ht="99.75" x14ac:dyDescent="0.2">
      <c r="A926" s="149" t="s">
        <v>294</v>
      </c>
      <c r="B926" s="149" t="s">
        <v>1422</v>
      </c>
      <c r="C926" s="145" t="s">
        <v>1317</v>
      </c>
      <c r="D926" s="3">
        <v>0.23</v>
      </c>
      <c r="E926" s="141">
        <v>10074.370000000001</v>
      </c>
      <c r="F926" s="141">
        <v>0</v>
      </c>
      <c r="G926" s="140">
        <v>2317</v>
      </c>
      <c r="H926" s="140">
        <v>0</v>
      </c>
      <c r="I926" s="142">
        <v>0</v>
      </c>
      <c r="J926" s="141">
        <v>0</v>
      </c>
      <c r="K926" s="141">
        <v>0</v>
      </c>
      <c r="T926">
        <v>2317</v>
      </c>
      <c r="U926">
        <v>2317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</row>
    <row r="927" spans="1:28" ht="14.25" x14ac:dyDescent="0.2">
      <c r="C927" s="35" t="s">
        <v>99</v>
      </c>
      <c r="D927" s="3"/>
      <c r="E927" s="139">
        <v>0</v>
      </c>
      <c r="F927" s="139">
        <v>0</v>
      </c>
      <c r="G927" s="140"/>
      <c r="H927" s="140"/>
      <c r="I927" s="140">
        <v>0</v>
      </c>
      <c r="J927" s="139">
        <v>0</v>
      </c>
      <c r="K927" s="139">
        <v>0</v>
      </c>
    </row>
    <row r="928" spans="1:28" x14ac:dyDescent="0.2">
      <c r="C928" s="36" t="s">
        <v>1318</v>
      </c>
    </row>
    <row r="929" spans="1:28" ht="119.25" x14ac:dyDescent="0.2">
      <c r="A929" s="149" t="s">
        <v>295</v>
      </c>
      <c r="B929" s="149" t="s">
        <v>1423</v>
      </c>
      <c r="C929" s="145" t="s">
        <v>1355</v>
      </c>
      <c r="D929" s="3">
        <v>1.5860000000000001</v>
      </c>
      <c r="E929" s="141">
        <v>1470.23</v>
      </c>
      <c r="F929" s="141">
        <v>158.65</v>
      </c>
      <c r="G929" s="140">
        <v>2332</v>
      </c>
      <c r="H929" s="140">
        <v>699</v>
      </c>
      <c r="I929" s="142">
        <v>252</v>
      </c>
      <c r="J929" s="141">
        <v>46.344999999999992</v>
      </c>
      <c r="K929" s="141">
        <v>73.503169999999997</v>
      </c>
      <c r="T929">
        <v>3508</v>
      </c>
      <c r="U929">
        <v>1381</v>
      </c>
      <c r="V929">
        <v>699</v>
      </c>
      <c r="W929">
        <v>252</v>
      </c>
      <c r="X929">
        <v>21</v>
      </c>
      <c r="Y929">
        <v>73.503169999999997</v>
      </c>
      <c r="Z929">
        <v>1.6454749999999998</v>
      </c>
      <c r="AA929">
        <v>778</v>
      </c>
      <c r="AB929">
        <v>398</v>
      </c>
    </row>
    <row r="930" spans="1:28" ht="14.25" x14ac:dyDescent="0.2">
      <c r="C930" s="35" t="s">
        <v>97</v>
      </c>
      <c r="D930" s="3"/>
      <c r="E930" s="139">
        <v>440.74</v>
      </c>
      <c r="F930" s="139">
        <v>13.35</v>
      </c>
      <c r="G930" s="140"/>
      <c r="H930" s="140"/>
      <c r="I930" s="140">
        <v>21</v>
      </c>
      <c r="J930" s="139">
        <v>1.0374999999999999</v>
      </c>
      <c r="K930" s="139">
        <v>1.6454749999999998</v>
      </c>
    </row>
    <row r="931" spans="1:28" x14ac:dyDescent="0.2">
      <c r="C931" s="36" t="s">
        <v>1313</v>
      </c>
    </row>
    <row r="932" spans="1:28" x14ac:dyDescent="0.2">
      <c r="C932" s="20" t="s">
        <v>89</v>
      </c>
      <c r="D932" s="37">
        <v>120</v>
      </c>
      <c r="E932" s="144">
        <v>490.41720000000004</v>
      </c>
      <c r="F932" s="37" t="s">
        <v>1204</v>
      </c>
      <c r="G932" s="143">
        <v>778</v>
      </c>
      <c r="H932" s="37" t="s">
        <v>188</v>
      </c>
      <c r="I932" s="37"/>
      <c r="J932" s="37"/>
      <c r="K932" s="37"/>
    </row>
    <row r="933" spans="1:28" x14ac:dyDescent="0.2">
      <c r="C933" s="20" t="s">
        <v>92</v>
      </c>
      <c r="D933" s="37">
        <v>65</v>
      </c>
      <c r="E933" s="144">
        <v>250.88472500000003</v>
      </c>
      <c r="F933" s="37" t="s">
        <v>1205</v>
      </c>
      <c r="G933" s="143">
        <v>398</v>
      </c>
      <c r="H933" s="37" t="s">
        <v>1206</v>
      </c>
      <c r="I933" s="37"/>
      <c r="J933" s="37"/>
      <c r="K933" s="37"/>
    </row>
    <row r="934" spans="1:28" x14ac:dyDescent="0.2">
      <c r="C934" s="20" t="s">
        <v>95</v>
      </c>
      <c r="D934" s="37"/>
      <c r="E934" s="144">
        <v>2211.5319250000002</v>
      </c>
      <c r="F934" s="37"/>
      <c r="G934" s="143">
        <v>3508</v>
      </c>
      <c r="H934" s="37"/>
      <c r="I934" s="37"/>
      <c r="J934" s="37"/>
      <c r="K934" s="37"/>
    </row>
    <row r="935" spans="1:28" ht="14.25" x14ac:dyDescent="0.2">
      <c r="A935" s="149" t="s">
        <v>624</v>
      </c>
      <c r="B935" s="149" t="s">
        <v>1146</v>
      </c>
      <c r="C935" s="145" t="s">
        <v>1280</v>
      </c>
      <c r="D935" s="3">
        <v>163.358</v>
      </c>
      <c r="E935" s="141">
        <v>0</v>
      </c>
      <c r="F935" s="141">
        <v>0</v>
      </c>
      <c r="G935" s="140">
        <v>0</v>
      </c>
      <c r="H935" s="140">
        <v>0</v>
      </c>
      <c r="I935" s="142">
        <v>0</v>
      </c>
      <c r="J935" s="141">
        <v>0</v>
      </c>
      <c r="K935" s="141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</row>
    <row r="936" spans="1:28" ht="14.25" x14ac:dyDescent="0.2">
      <c r="C936" s="35" t="s">
        <v>117</v>
      </c>
      <c r="D936" s="3"/>
      <c r="E936" s="139">
        <v>0</v>
      </c>
      <c r="F936" s="139">
        <v>0</v>
      </c>
      <c r="G936" s="140"/>
      <c r="H936" s="140"/>
      <c r="I936" s="140">
        <v>0</v>
      </c>
      <c r="J936" s="139">
        <v>0</v>
      </c>
      <c r="K936" s="139">
        <v>0</v>
      </c>
    </row>
    <row r="937" spans="1:28" ht="99.75" x14ac:dyDescent="0.2">
      <c r="A937" s="149" t="s">
        <v>296</v>
      </c>
      <c r="B937" s="149" t="s">
        <v>1424</v>
      </c>
      <c r="C937" s="145" t="s">
        <v>1319</v>
      </c>
      <c r="D937" s="3">
        <v>32.700000000000003</v>
      </c>
      <c r="E937" s="141">
        <v>1588.5</v>
      </c>
      <c r="F937" s="141">
        <v>0</v>
      </c>
      <c r="G937" s="140">
        <v>51944</v>
      </c>
      <c r="H937" s="140">
        <v>0</v>
      </c>
      <c r="I937" s="142">
        <v>0</v>
      </c>
      <c r="J937" s="141">
        <v>0</v>
      </c>
      <c r="K937" s="141">
        <v>0</v>
      </c>
      <c r="T937">
        <v>51944</v>
      </c>
      <c r="U937">
        <v>51944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</row>
    <row r="938" spans="1:28" ht="14.25" x14ac:dyDescent="0.2">
      <c r="C938" s="35" t="s">
        <v>88</v>
      </c>
      <c r="D938" s="3"/>
      <c r="E938" s="139">
        <v>0</v>
      </c>
      <c r="F938" s="139">
        <v>0</v>
      </c>
      <c r="G938" s="140"/>
      <c r="H938" s="140"/>
      <c r="I938" s="140">
        <v>0</v>
      </c>
      <c r="J938" s="139">
        <v>0</v>
      </c>
      <c r="K938" s="139">
        <v>0</v>
      </c>
    </row>
    <row r="939" spans="1:28" x14ac:dyDescent="0.2">
      <c r="C939" s="36" t="s">
        <v>1320</v>
      </c>
    </row>
    <row r="940" spans="1:28" ht="105" x14ac:dyDescent="0.2">
      <c r="A940" s="149" t="s">
        <v>297</v>
      </c>
      <c r="B940" s="149" t="s">
        <v>1425</v>
      </c>
      <c r="C940" s="145" t="s">
        <v>1354</v>
      </c>
      <c r="D940" s="3">
        <v>1.5860000000000001</v>
      </c>
      <c r="E940" s="141">
        <v>4430.38</v>
      </c>
      <c r="F940" s="141">
        <v>2.27</v>
      </c>
      <c r="G940" s="140">
        <v>7027</v>
      </c>
      <c r="H940" s="140">
        <v>873</v>
      </c>
      <c r="I940" s="142">
        <v>4</v>
      </c>
      <c r="J940" s="141">
        <v>60.696999999999996</v>
      </c>
      <c r="K940" s="141">
        <v>96.265441999999993</v>
      </c>
      <c r="T940">
        <v>8454</v>
      </c>
      <c r="U940">
        <v>6150</v>
      </c>
      <c r="V940">
        <v>873</v>
      </c>
      <c r="W940">
        <v>4</v>
      </c>
      <c r="X940">
        <v>1</v>
      </c>
      <c r="Y940">
        <v>96.265441999999993</v>
      </c>
      <c r="Z940">
        <v>3.9650000000000005E-2</v>
      </c>
      <c r="AA940">
        <v>944</v>
      </c>
      <c r="AB940">
        <v>483</v>
      </c>
    </row>
    <row r="941" spans="1:28" ht="14.25" x14ac:dyDescent="0.2">
      <c r="C941" s="35" t="s">
        <v>97</v>
      </c>
      <c r="D941" s="3"/>
      <c r="E941" s="139">
        <v>550.52</v>
      </c>
      <c r="F941" s="139">
        <v>0.36</v>
      </c>
      <c r="G941" s="140"/>
      <c r="H941" s="140"/>
      <c r="I941" s="140">
        <v>1</v>
      </c>
      <c r="J941" s="139">
        <v>2.5000000000000001E-2</v>
      </c>
      <c r="K941" s="139">
        <v>3.9650000000000005E-2</v>
      </c>
    </row>
    <row r="942" spans="1:28" x14ac:dyDescent="0.2">
      <c r="C942" s="36" t="s">
        <v>1313</v>
      </c>
    </row>
    <row r="943" spans="1:28" x14ac:dyDescent="0.2">
      <c r="C943" s="20" t="s">
        <v>89</v>
      </c>
      <c r="D943" s="37">
        <v>120</v>
      </c>
      <c r="E943" s="144">
        <v>594.95040000000006</v>
      </c>
      <c r="F943" s="37" t="s">
        <v>1204</v>
      </c>
      <c r="G943" s="143">
        <v>944</v>
      </c>
      <c r="H943" s="37" t="s">
        <v>188</v>
      </c>
      <c r="I943" s="37"/>
      <c r="J943" s="37"/>
      <c r="K943" s="37"/>
    </row>
    <row r="944" spans="1:28" x14ac:dyDescent="0.2">
      <c r="C944" s="20" t="s">
        <v>92</v>
      </c>
      <c r="D944" s="37">
        <v>65</v>
      </c>
      <c r="E944" s="144">
        <v>304.3612</v>
      </c>
      <c r="F944" s="37" t="s">
        <v>1205</v>
      </c>
      <c r="G944" s="143">
        <v>483</v>
      </c>
      <c r="H944" s="37" t="s">
        <v>1206</v>
      </c>
      <c r="I944" s="37"/>
      <c r="J944" s="37"/>
      <c r="K944" s="37"/>
    </row>
    <row r="945" spans="1:28" x14ac:dyDescent="0.2">
      <c r="C945" s="20" t="s">
        <v>95</v>
      </c>
      <c r="D945" s="37"/>
      <c r="E945" s="144">
        <v>5329.6916000000001</v>
      </c>
      <c r="F945" s="37"/>
      <c r="G945" s="143">
        <v>8454</v>
      </c>
      <c r="H945" s="37"/>
      <c r="I945" s="37"/>
      <c r="J945" s="37"/>
      <c r="K945" s="37"/>
    </row>
    <row r="946" spans="1:28" ht="105" x14ac:dyDescent="0.2">
      <c r="A946" s="149" t="s">
        <v>298</v>
      </c>
      <c r="B946" s="149" t="s">
        <v>1405</v>
      </c>
      <c r="C946" s="145" t="s">
        <v>1353</v>
      </c>
      <c r="D946" s="3">
        <v>1.5860000000000001</v>
      </c>
      <c r="E946" s="141">
        <v>515.53</v>
      </c>
      <c r="F946" s="141">
        <v>237.42</v>
      </c>
      <c r="G946" s="140">
        <v>818</v>
      </c>
      <c r="H946" s="140">
        <v>383</v>
      </c>
      <c r="I946" s="142">
        <v>377</v>
      </c>
      <c r="J946" s="141">
        <v>27.945</v>
      </c>
      <c r="K946" s="141">
        <v>44.320770000000003</v>
      </c>
      <c r="T946">
        <v>1513</v>
      </c>
      <c r="U946">
        <v>58</v>
      </c>
      <c r="V946">
        <v>383</v>
      </c>
      <c r="W946">
        <v>377</v>
      </c>
      <c r="X946">
        <v>43</v>
      </c>
      <c r="Y946">
        <v>44.320770000000003</v>
      </c>
      <c r="Z946">
        <v>3.84605</v>
      </c>
      <c r="AA946">
        <v>460</v>
      </c>
      <c r="AB946">
        <v>235</v>
      </c>
    </row>
    <row r="947" spans="1:28" ht="14.25" x14ac:dyDescent="0.2">
      <c r="C947" s="35" t="s">
        <v>97</v>
      </c>
      <c r="D947" s="3"/>
      <c r="E947" s="139">
        <v>241.44</v>
      </c>
      <c r="F947" s="139">
        <v>27.33</v>
      </c>
      <c r="G947" s="140"/>
      <c r="H947" s="140"/>
      <c r="I947" s="140">
        <v>43</v>
      </c>
      <c r="J947" s="139">
        <v>2.4249999999999998</v>
      </c>
      <c r="K947" s="139">
        <v>3.84605</v>
      </c>
    </row>
    <row r="948" spans="1:28" x14ac:dyDescent="0.2">
      <c r="C948" s="36" t="s">
        <v>1313</v>
      </c>
    </row>
    <row r="949" spans="1:28" x14ac:dyDescent="0.2">
      <c r="C949" s="20" t="s">
        <v>89</v>
      </c>
      <c r="D949" s="37">
        <v>120</v>
      </c>
      <c r="E949" s="144">
        <v>290.27159999999998</v>
      </c>
      <c r="F949" s="37" t="s">
        <v>1204</v>
      </c>
      <c r="G949" s="143">
        <v>460</v>
      </c>
      <c r="H949" s="37" t="s">
        <v>188</v>
      </c>
      <c r="I949" s="37"/>
      <c r="J949" s="37"/>
      <c r="K949" s="37"/>
    </row>
    <row r="950" spans="1:28" x14ac:dyDescent="0.2">
      <c r="C950" s="20" t="s">
        <v>92</v>
      </c>
      <c r="D950" s="37">
        <v>65</v>
      </c>
      <c r="E950" s="144">
        <v>148.49542499999998</v>
      </c>
      <c r="F950" s="37" t="s">
        <v>1205</v>
      </c>
      <c r="G950" s="143">
        <v>235</v>
      </c>
      <c r="H950" s="37" t="s">
        <v>1206</v>
      </c>
      <c r="I950" s="37"/>
      <c r="J950" s="37"/>
      <c r="K950" s="37"/>
    </row>
    <row r="951" spans="1:28" x14ac:dyDescent="0.2">
      <c r="C951" s="20" t="s">
        <v>95</v>
      </c>
      <c r="D951" s="37"/>
      <c r="E951" s="144">
        <v>954.29702499999996</v>
      </c>
      <c r="F951" s="37"/>
      <c r="G951" s="143">
        <v>1513</v>
      </c>
      <c r="H951" s="37"/>
      <c r="I951" s="37"/>
      <c r="J951" s="37"/>
      <c r="K951" s="37"/>
    </row>
    <row r="952" spans="1:28" ht="28.5" x14ac:dyDescent="0.2">
      <c r="A952" s="149" t="s">
        <v>1426</v>
      </c>
      <c r="B952" s="149" t="s">
        <v>1146</v>
      </c>
      <c r="C952" s="145" t="s">
        <v>1215</v>
      </c>
      <c r="D952" s="3">
        <v>2.42658</v>
      </c>
      <c r="E952" s="141">
        <v>0</v>
      </c>
      <c r="F952" s="141">
        <v>0</v>
      </c>
      <c r="G952" s="140">
        <v>0</v>
      </c>
      <c r="H952" s="140">
        <v>0</v>
      </c>
      <c r="I952" s="142">
        <v>0</v>
      </c>
      <c r="J952" s="141">
        <v>0</v>
      </c>
      <c r="K952" s="141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</row>
    <row r="953" spans="1:28" ht="14.25" x14ac:dyDescent="0.2">
      <c r="C953" s="35" t="s">
        <v>88</v>
      </c>
      <c r="D953" s="3"/>
      <c r="E953" s="139">
        <v>0</v>
      </c>
      <c r="F953" s="139">
        <v>0</v>
      </c>
      <c r="G953" s="140"/>
      <c r="H953" s="140"/>
      <c r="I953" s="140">
        <v>0</v>
      </c>
      <c r="J953" s="139">
        <v>0</v>
      </c>
      <c r="K953" s="139">
        <v>0</v>
      </c>
    </row>
    <row r="954" spans="1:28" ht="99.75" x14ac:dyDescent="0.2">
      <c r="A954" s="149" t="s">
        <v>299</v>
      </c>
      <c r="B954" s="149" t="s">
        <v>1407</v>
      </c>
      <c r="C954" s="145" t="s">
        <v>1155</v>
      </c>
      <c r="D954" s="3">
        <v>2.427</v>
      </c>
      <c r="E954" s="141">
        <v>519.79999999999995</v>
      </c>
      <c r="F954" s="141">
        <v>0</v>
      </c>
      <c r="G954" s="140">
        <v>1262</v>
      </c>
      <c r="H954" s="140">
        <v>0</v>
      </c>
      <c r="I954" s="142">
        <v>0</v>
      </c>
      <c r="J954" s="141">
        <v>0</v>
      </c>
      <c r="K954" s="141">
        <v>0</v>
      </c>
      <c r="T954">
        <v>1262</v>
      </c>
      <c r="U954">
        <v>1262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</row>
    <row r="955" spans="1:28" ht="14.25" x14ac:dyDescent="0.2">
      <c r="C955" s="35" t="s">
        <v>88</v>
      </c>
      <c r="D955" s="3"/>
      <c r="E955" s="139">
        <v>0</v>
      </c>
      <c r="F955" s="139">
        <v>0</v>
      </c>
      <c r="G955" s="140"/>
      <c r="H955" s="140"/>
      <c r="I955" s="140">
        <v>0</v>
      </c>
      <c r="J955" s="139">
        <v>0</v>
      </c>
      <c r="K955" s="139">
        <v>0</v>
      </c>
    </row>
    <row r="956" spans="1:28" ht="146.25" x14ac:dyDescent="0.2">
      <c r="A956" s="149" t="s">
        <v>300</v>
      </c>
      <c r="B956" s="149" t="s">
        <v>1408</v>
      </c>
      <c r="C956" s="145" t="s">
        <v>1352</v>
      </c>
      <c r="D956" s="3">
        <v>1.5860000000000001</v>
      </c>
      <c r="E956" s="141">
        <v>198.92</v>
      </c>
      <c r="F956" s="141">
        <v>49.88</v>
      </c>
      <c r="G956" s="140">
        <v>315</v>
      </c>
      <c r="H956" s="140">
        <v>236</v>
      </c>
      <c r="I956" s="142">
        <v>79</v>
      </c>
      <c r="J956" s="141">
        <v>17.25</v>
      </c>
      <c r="K956" s="141">
        <v>27.358500000000003</v>
      </c>
      <c r="T956">
        <v>717</v>
      </c>
      <c r="U956">
        <v>0</v>
      </c>
      <c r="V956">
        <v>236</v>
      </c>
      <c r="W956">
        <v>79</v>
      </c>
      <c r="X956">
        <v>10</v>
      </c>
      <c r="Y956">
        <v>27.358500000000003</v>
      </c>
      <c r="Z956">
        <v>0.89212500000000006</v>
      </c>
      <c r="AA956">
        <v>266</v>
      </c>
      <c r="AB956">
        <v>136</v>
      </c>
    </row>
    <row r="957" spans="1:28" ht="14.25" x14ac:dyDescent="0.2">
      <c r="C957" s="35" t="s">
        <v>97</v>
      </c>
      <c r="D957" s="3"/>
      <c r="E957" s="139">
        <v>149.04</v>
      </c>
      <c r="F957" s="139">
        <v>6.38</v>
      </c>
      <c r="G957" s="140"/>
      <c r="H957" s="140"/>
      <c r="I957" s="140">
        <v>10</v>
      </c>
      <c r="J957" s="139">
        <v>0.5625</v>
      </c>
      <c r="K957" s="139">
        <v>0.89212500000000006</v>
      </c>
    </row>
    <row r="958" spans="1:28" x14ac:dyDescent="0.2">
      <c r="C958" s="36" t="s">
        <v>1313</v>
      </c>
    </row>
    <row r="959" spans="1:28" x14ac:dyDescent="0.2">
      <c r="C959" s="20" t="s">
        <v>89</v>
      </c>
      <c r="D959" s="37">
        <v>120</v>
      </c>
      <c r="E959" s="144">
        <v>167.85359999999997</v>
      </c>
      <c r="F959" s="37" t="s">
        <v>1204</v>
      </c>
      <c r="G959" s="143">
        <v>266</v>
      </c>
      <c r="H959" s="37" t="s">
        <v>188</v>
      </c>
      <c r="I959" s="37"/>
      <c r="J959" s="37"/>
      <c r="K959" s="37"/>
    </row>
    <row r="960" spans="1:28" x14ac:dyDescent="0.2">
      <c r="C960" s="20" t="s">
        <v>92</v>
      </c>
      <c r="D960" s="37">
        <v>65</v>
      </c>
      <c r="E960" s="144">
        <v>85.869550000000004</v>
      </c>
      <c r="F960" s="37" t="s">
        <v>1205</v>
      </c>
      <c r="G960" s="143">
        <v>136</v>
      </c>
      <c r="H960" s="37" t="s">
        <v>1206</v>
      </c>
      <c r="I960" s="37"/>
      <c r="J960" s="37"/>
      <c r="K960" s="37"/>
    </row>
    <row r="961" spans="1:28" x14ac:dyDescent="0.2">
      <c r="C961" s="20" t="s">
        <v>95</v>
      </c>
      <c r="D961" s="37"/>
      <c r="E961" s="144">
        <v>452.64314999999999</v>
      </c>
      <c r="F961" s="37"/>
      <c r="G961" s="143">
        <v>717</v>
      </c>
      <c r="H961" s="37"/>
      <c r="I961" s="37"/>
      <c r="J961" s="37"/>
      <c r="K961" s="37"/>
    </row>
    <row r="962" spans="1:28" ht="28.5" x14ac:dyDescent="0.2">
      <c r="A962" s="149" t="s">
        <v>1427</v>
      </c>
      <c r="B962" s="149" t="s">
        <v>1146</v>
      </c>
      <c r="C962" s="145" t="s">
        <v>1215</v>
      </c>
      <c r="D962" s="3">
        <v>2.42658</v>
      </c>
      <c r="E962" s="141">
        <v>0</v>
      </c>
      <c r="F962" s="141">
        <v>0</v>
      </c>
      <c r="G962" s="140">
        <v>0</v>
      </c>
      <c r="H962" s="140">
        <v>0</v>
      </c>
      <c r="I962" s="142">
        <v>0</v>
      </c>
      <c r="J962" s="141">
        <v>0</v>
      </c>
      <c r="K962" s="141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</row>
    <row r="963" spans="1:28" ht="14.25" x14ac:dyDescent="0.2">
      <c r="C963" s="35" t="s">
        <v>88</v>
      </c>
      <c r="D963" s="3"/>
      <c r="E963" s="139">
        <v>0</v>
      </c>
      <c r="F963" s="139">
        <v>0</v>
      </c>
      <c r="G963" s="140"/>
      <c r="H963" s="140"/>
      <c r="I963" s="140">
        <v>0</v>
      </c>
      <c r="J963" s="139">
        <v>0</v>
      </c>
      <c r="K963" s="139">
        <v>0</v>
      </c>
    </row>
    <row r="964" spans="1:28" ht="99.75" x14ac:dyDescent="0.2">
      <c r="A964" s="149" t="s">
        <v>301</v>
      </c>
      <c r="B964" s="149" t="s">
        <v>1407</v>
      </c>
      <c r="C964" s="145" t="s">
        <v>1155</v>
      </c>
      <c r="D964" s="3">
        <v>2.427</v>
      </c>
      <c r="E964" s="141">
        <v>519.79999999999995</v>
      </c>
      <c r="F964" s="141">
        <v>0</v>
      </c>
      <c r="G964" s="140">
        <v>1262</v>
      </c>
      <c r="H964" s="140">
        <v>0</v>
      </c>
      <c r="I964" s="142">
        <v>0</v>
      </c>
      <c r="J964" s="141">
        <v>0</v>
      </c>
      <c r="K964" s="141">
        <v>0</v>
      </c>
      <c r="T964">
        <v>1262</v>
      </c>
      <c r="U964">
        <v>1262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</row>
    <row r="965" spans="1:28" ht="14.25" x14ac:dyDescent="0.2">
      <c r="C965" s="35" t="s">
        <v>88</v>
      </c>
      <c r="D965" s="3"/>
      <c r="E965" s="139">
        <v>0</v>
      </c>
      <c r="F965" s="139">
        <v>0</v>
      </c>
      <c r="G965" s="140"/>
      <c r="H965" s="140"/>
      <c r="I965" s="140">
        <v>0</v>
      </c>
      <c r="J965" s="139">
        <v>0</v>
      </c>
      <c r="K965" s="139">
        <v>0</v>
      </c>
    </row>
    <row r="966" spans="1:28" ht="105" x14ac:dyDescent="0.2">
      <c r="A966" s="149" t="s">
        <v>302</v>
      </c>
      <c r="B966" s="149" t="s">
        <v>1428</v>
      </c>
      <c r="C966" s="145" t="s">
        <v>1109</v>
      </c>
      <c r="D966" s="3">
        <v>0.32</v>
      </c>
      <c r="E966" s="141">
        <v>441.87</v>
      </c>
      <c r="F966" s="141">
        <v>38.07</v>
      </c>
      <c r="G966" s="140">
        <v>141</v>
      </c>
      <c r="H966" s="140">
        <v>38</v>
      </c>
      <c r="I966" s="142">
        <v>12</v>
      </c>
      <c r="J966" s="141">
        <v>13.339999999999998</v>
      </c>
      <c r="K966" s="141">
        <v>4.2687999999999997</v>
      </c>
      <c r="T966">
        <v>201</v>
      </c>
      <c r="U966">
        <v>91</v>
      </c>
      <c r="V966">
        <v>38</v>
      </c>
      <c r="W966">
        <v>12</v>
      </c>
      <c r="X966">
        <v>2</v>
      </c>
      <c r="Y966">
        <v>4.2687999999999997</v>
      </c>
      <c r="Z966">
        <v>0.14000000000000001</v>
      </c>
      <c r="AA966">
        <v>38</v>
      </c>
      <c r="AB966">
        <v>22</v>
      </c>
    </row>
    <row r="967" spans="1:28" ht="14.25" x14ac:dyDescent="0.2">
      <c r="C967" s="35" t="s">
        <v>99</v>
      </c>
      <c r="D967" s="3"/>
      <c r="E967" s="139">
        <v>118.2</v>
      </c>
      <c r="F967" s="139">
        <v>5.44</v>
      </c>
      <c r="G967" s="140"/>
      <c r="H967" s="140"/>
      <c r="I967" s="140">
        <v>2</v>
      </c>
      <c r="J967" s="139">
        <v>0.4375</v>
      </c>
      <c r="K967" s="139">
        <v>0.14000000000000001</v>
      </c>
    </row>
    <row r="968" spans="1:28" x14ac:dyDescent="0.2">
      <c r="C968" s="36" t="s">
        <v>1322</v>
      </c>
    </row>
    <row r="969" spans="1:28" x14ac:dyDescent="0.2">
      <c r="C969" s="20" t="s">
        <v>89</v>
      </c>
      <c r="D969" s="37">
        <v>105</v>
      </c>
      <c r="E969" s="144">
        <v>116.8398</v>
      </c>
      <c r="F969" s="37" t="s">
        <v>1130</v>
      </c>
      <c r="G969" s="143">
        <v>38</v>
      </c>
      <c r="H969" s="37" t="s">
        <v>1131</v>
      </c>
      <c r="I969" s="37"/>
      <c r="J969" s="37"/>
      <c r="K969" s="37"/>
    </row>
    <row r="970" spans="1:28" x14ac:dyDescent="0.2">
      <c r="C970" s="20" t="s">
        <v>92</v>
      </c>
      <c r="D970" s="37">
        <v>65</v>
      </c>
      <c r="E970" s="144">
        <v>68.311099999999996</v>
      </c>
      <c r="F970" s="37" t="s">
        <v>1205</v>
      </c>
      <c r="G970" s="143">
        <v>22</v>
      </c>
      <c r="H970" s="37" t="s">
        <v>1206</v>
      </c>
      <c r="I970" s="37"/>
      <c r="J970" s="37"/>
      <c r="K970" s="37"/>
    </row>
    <row r="971" spans="1:28" x14ac:dyDescent="0.2">
      <c r="C971" s="20" t="s">
        <v>95</v>
      </c>
      <c r="D971" s="37"/>
      <c r="E971" s="144">
        <v>627.02089999999998</v>
      </c>
      <c r="F971" s="37"/>
      <c r="G971" s="143">
        <v>201</v>
      </c>
      <c r="H971" s="37"/>
      <c r="I971" s="37"/>
      <c r="J971" s="37"/>
      <c r="K971" s="37"/>
    </row>
    <row r="972" spans="1:28" ht="14.25" x14ac:dyDescent="0.2">
      <c r="A972" s="149" t="s">
        <v>1429</v>
      </c>
      <c r="B972" s="149" t="s">
        <v>1146</v>
      </c>
      <c r="C972" s="145" t="s">
        <v>1228</v>
      </c>
      <c r="D972" s="3">
        <v>0.32</v>
      </c>
      <c r="E972" s="141">
        <v>0</v>
      </c>
      <c r="F972" s="141">
        <v>0</v>
      </c>
      <c r="G972" s="140">
        <v>0</v>
      </c>
      <c r="H972" s="140">
        <v>0</v>
      </c>
      <c r="I972" s="142">
        <v>0</v>
      </c>
      <c r="J972" s="141">
        <v>0</v>
      </c>
      <c r="K972" s="141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</row>
    <row r="973" spans="1:28" ht="14.25" x14ac:dyDescent="0.2">
      <c r="C973" s="35" t="s">
        <v>99</v>
      </c>
      <c r="D973" s="3"/>
      <c r="E973" s="139">
        <v>0</v>
      </c>
      <c r="F973" s="139">
        <v>0</v>
      </c>
      <c r="G973" s="140"/>
      <c r="H973" s="140"/>
      <c r="I973" s="140">
        <v>0</v>
      </c>
      <c r="J973" s="139">
        <v>0</v>
      </c>
      <c r="K973" s="139">
        <v>0</v>
      </c>
    </row>
    <row r="974" spans="1:28" ht="99.75" x14ac:dyDescent="0.2">
      <c r="A974" s="149" t="s">
        <v>303</v>
      </c>
      <c r="B974" s="149" t="s">
        <v>1430</v>
      </c>
      <c r="C974" s="145" t="s">
        <v>1229</v>
      </c>
      <c r="D974" s="3">
        <v>0.32</v>
      </c>
      <c r="E974" s="141">
        <v>7200</v>
      </c>
      <c r="F974" s="141">
        <v>0</v>
      </c>
      <c r="G974" s="140">
        <v>2304</v>
      </c>
      <c r="H974" s="140">
        <v>0</v>
      </c>
      <c r="I974" s="142">
        <v>0</v>
      </c>
      <c r="J974" s="141">
        <v>0</v>
      </c>
      <c r="K974" s="141">
        <v>0</v>
      </c>
      <c r="T974">
        <v>2304</v>
      </c>
      <c r="U974">
        <v>2304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</row>
    <row r="975" spans="1:28" ht="14.25" x14ac:dyDescent="0.2">
      <c r="C975" s="35" t="s">
        <v>99</v>
      </c>
      <c r="D975" s="3"/>
      <c r="E975" s="139">
        <v>0</v>
      </c>
      <c r="F975" s="139">
        <v>0</v>
      </c>
      <c r="G975" s="140"/>
      <c r="H975" s="140"/>
      <c r="I975" s="140">
        <v>0</v>
      </c>
      <c r="J975" s="139">
        <v>0</v>
      </c>
      <c r="K975" s="139">
        <v>0</v>
      </c>
    </row>
    <row r="976" spans="1:28" ht="105" x14ac:dyDescent="0.2">
      <c r="A976" s="149" t="s">
        <v>304</v>
      </c>
      <c r="B976" s="149" t="s">
        <v>1431</v>
      </c>
      <c r="C976" s="145" t="s">
        <v>1351</v>
      </c>
      <c r="D976" s="3">
        <v>1.5860000000000001</v>
      </c>
      <c r="E976" s="141">
        <v>368.36</v>
      </c>
      <c r="F976" s="141">
        <v>30.8</v>
      </c>
      <c r="G976" s="140">
        <v>584</v>
      </c>
      <c r="H976" s="140">
        <v>246</v>
      </c>
      <c r="I976" s="142">
        <v>49</v>
      </c>
      <c r="J976" s="141">
        <v>16.513999999999999</v>
      </c>
      <c r="K976" s="141">
        <v>26.191203999999999</v>
      </c>
      <c r="T976">
        <v>997</v>
      </c>
      <c r="U976">
        <v>289</v>
      </c>
      <c r="V976">
        <v>246</v>
      </c>
      <c r="W976">
        <v>49</v>
      </c>
      <c r="X976">
        <v>7</v>
      </c>
      <c r="Y976">
        <v>26.191203999999999</v>
      </c>
      <c r="Z976">
        <v>0.57492500000000002</v>
      </c>
      <c r="AA976">
        <v>273</v>
      </c>
      <c r="AB976">
        <v>140</v>
      </c>
    </row>
    <row r="977" spans="1:28" ht="14.25" x14ac:dyDescent="0.2">
      <c r="C977" s="35" t="s">
        <v>97</v>
      </c>
      <c r="D977" s="3"/>
      <c r="E977" s="139">
        <v>155.22999999999999</v>
      </c>
      <c r="F977" s="139">
        <v>4.6900000000000004</v>
      </c>
      <c r="G977" s="140"/>
      <c r="H977" s="140"/>
      <c r="I977" s="140">
        <v>7</v>
      </c>
      <c r="J977" s="139">
        <v>0.36249999999999999</v>
      </c>
      <c r="K977" s="139">
        <v>0.57492500000000002</v>
      </c>
    </row>
    <row r="978" spans="1:28" x14ac:dyDescent="0.2">
      <c r="C978" s="36" t="s">
        <v>1313</v>
      </c>
    </row>
    <row r="979" spans="1:28" x14ac:dyDescent="0.2">
      <c r="C979" s="20" t="s">
        <v>89</v>
      </c>
      <c r="D979" s="37">
        <v>120</v>
      </c>
      <c r="E979" s="144">
        <v>172.71359999999996</v>
      </c>
      <c r="F979" s="37" t="s">
        <v>1204</v>
      </c>
      <c r="G979" s="143">
        <v>273</v>
      </c>
      <c r="H979" s="37" t="s">
        <v>188</v>
      </c>
      <c r="I979" s="37"/>
      <c r="J979" s="37"/>
      <c r="K979" s="37"/>
    </row>
    <row r="980" spans="1:28" x14ac:dyDescent="0.2">
      <c r="C980" s="20" t="s">
        <v>92</v>
      </c>
      <c r="D980" s="37">
        <v>65</v>
      </c>
      <c r="E980" s="144">
        <v>88.355800000000002</v>
      </c>
      <c r="F980" s="37" t="s">
        <v>1205</v>
      </c>
      <c r="G980" s="143">
        <v>140</v>
      </c>
      <c r="H980" s="37" t="s">
        <v>1206</v>
      </c>
      <c r="I980" s="37"/>
      <c r="J980" s="37"/>
      <c r="K980" s="37"/>
    </row>
    <row r="981" spans="1:28" x14ac:dyDescent="0.2">
      <c r="C981" s="20" t="s">
        <v>95</v>
      </c>
      <c r="D981" s="37"/>
      <c r="E981" s="144">
        <v>629.42939999999999</v>
      </c>
      <c r="F981" s="37"/>
      <c r="G981" s="143">
        <v>997</v>
      </c>
      <c r="H981" s="37"/>
      <c r="I981" s="37"/>
      <c r="J981" s="37"/>
      <c r="K981" s="37"/>
    </row>
    <row r="982" spans="1:28" ht="28.5" x14ac:dyDescent="0.2">
      <c r="A982" s="149" t="s">
        <v>1321</v>
      </c>
      <c r="B982" s="149" t="s">
        <v>1146</v>
      </c>
      <c r="C982" s="145" t="s">
        <v>1325</v>
      </c>
      <c r="D982" s="3">
        <v>180.804</v>
      </c>
      <c r="E982" s="141">
        <v>0</v>
      </c>
      <c r="F982" s="141">
        <v>0</v>
      </c>
      <c r="G982" s="140">
        <v>0</v>
      </c>
      <c r="H982" s="140">
        <v>0</v>
      </c>
      <c r="I982" s="142">
        <v>0</v>
      </c>
      <c r="J982" s="141">
        <v>0</v>
      </c>
      <c r="K982" s="141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</row>
    <row r="983" spans="1:28" ht="14.25" x14ac:dyDescent="0.2">
      <c r="C983" s="35" t="s">
        <v>117</v>
      </c>
      <c r="D983" s="3"/>
      <c r="E983" s="139">
        <v>0</v>
      </c>
      <c r="F983" s="139">
        <v>0</v>
      </c>
      <c r="G983" s="140"/>
      <c r="H983" s="140"/>
      <c r="I983" s="140">
        <v>0</v>
      </c>
      <c r="J983" s="139">
        <v>0</v>
      </c>
      <c r="K983" s="139">
        <v>0</v>
      </c>
    </row>
    <row r="984" spans="1:28" ht="28.5" x14ac:dyDescent="0.2">
      <c r="A984" s="149" t="s">
        <v>305</v>
      </c>
      <c r="B984" s="149" t="s">
        <v>1146</v>
      </c>
      <c r="C984" s="145" t="s">
        <v>1327</v>
      </c>
      <c r="D984" s="3">
        <v>183.976</v>
      </c>
      <c r="E984" s="141">
        <v>0</v>
      </c>
      <c r="F984" s="141">
        <v>0</v>
      </c>
      <c r="G984" s="140">
        <v>0</v>
      </c>
      <c r="H984" s="140">
        <v>0</v>
      </c>
      <c r="I984" s="142">
        <v>0</v>
      </c>
      <c r="J984" s="141">
        <v>0</v>
      </c>
      <c r="K984" s="141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</row>
    <row r="985" spans="1:28" ht="14.25" x14ac:dyDescent="0.2">
      <c r="C985" s="35" t="s">
        <v>117</v>
      </c>
      <c r="D985" s="3"/>
      <c r="E985" s="139">
        <v>0</v>
      </c>
      <c r="F985" s="139">
        <v>0</v>
      </c>
      <c r="G985" s="140"/>
      <c r="H985" s="140"/>
      <c r="I985" s="140">
        <v>0</v>
      </c>
      <c r="J985" s="139">
        <v>0</v>
      </c>
      <c r="K985" s="139">
        <v>0</v>
      </c>
    </row>
    <row r="986" spans="1:28" ht="99.75" x14ac:dyDescent="0.2">
      <c r="A986" s="149" t="s">
        <v>306</v>
      </c>
      <c r="B986" s="149" t="s">
        <v>1432</v>
      </c>
      <c r="C986" s="145" t="s">
        <v>1328</v>
      </c>
      <c r="D986" s="3">
        <v>183.976</v>
      </c>
      <c r="E986" s="141">
        <v>26.01</v>
      </c>
      <c r="F986" s="141">
        <v>0</v>
      </c>
      <c r="G986" s="140">
        <v>4785</v>
      </c>
      <c r="H986" s="140">
        <v>0</v>
      </c>
      <c r="I986" s="142">
        <v>0</v>
      </c>
      <c r="J986" s="141">
        <v>0</v>
      </c>
      <c r="K986" s="141">
        <v>0</v>
      </c>
      <c r="T986">
        <v>4785</v>
      </c>
      <c r="U986">
        <v>4785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</row>
    <row r="987" spans="1:28" ht="14.25" x14ac:dyDescent="0.2">
      <c r="C987" s="35" t="s">
        <v>117</v>
      </c>
      <c r="D987" s="3"/>
      <c r="E987" s="139">
        <v>0</v>
      </c>
      <c r="F987" s="139">
        <v>0</v>
      </c>
      <c r="G987" s="140"/>
      <c r="H987" s="140"/>
      <c r="I987" s="140">
        <v>0</v>
      </c>
      <c r="J987" s="139">
        <v>0</v>
      </c>
      <c r="K987" s="139">
        <v>0</v>
      </c>
    </row>
    <row r="988" spans="1:28" ht="99.75" x14ac:dyDescent="0.2">
      <c r="A988" s="149" t="s">
        <v>307</v>
      </c>
      <c r="B988" s="149" t="s">
        <v>1433</v>
      </c>
      <c r="C988" s="145" t="s">
        <v>1329</v>
      </c>
      <c r="D988" s="3">
        <v>180.804</v>
      </c>
      <c r="E988" s="141">
        <v>29.05</v>
      </c>
      <c r="F988" s="141">
        <v>0</v>
      </c>
      <c r="G988" s="140">
        <v>5252</v>
      </c>
      <c r="H988" s="140">
        <v>0</v>
      </c>
      <c r="I988" s="142">
        <v>0</v>
      </c>
      <c r="J988" s="141">
        <v>0</v>
      </c>
      <c r="K988" s="141">
        <v>0</v>
      </c>
      <c r="T988">
        <v>5252</v>
      </c>
      <c r="U988">
        <v>5252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</row>
    <row r="989" spans="1:28" ht="14.25" x14ac:dyDescent="0.2">
      <c r="C989" s="35" t="s">
        <v>117</v>
      </c>
      <c r="D989" s="3"/>
      <c r="E989" s="139">
        <v>0</v>
      </c>
      <c r="F989" s="139">
        <v>0</v>
      </c>
      <c r="G989" s="140"/>
      <c r="H989" s="140"/>
      <c r="I989" s="140">
        <v>0</v>
      </c>
      <c r="J989" s="139">
        <v>0</v>
      </c>
      <c r="K989" s="139">
        <v>0</v>
      </c>
    </row>
    <row r="990" spans="1:28" ht="119.25" x14ac:dyDescent="0.2">
      <c r="A990" s="149" t="s">
        <v>308</v>
      </c>
      <c r="B990" s="149" t="s">
        <v>1434</v>
      </c>
      <c r="C990" s="145" t="s">
        <v>1108</v>
      </c>
      <c r="D990" s="3">
        <v>0.28299999999999997</v>
      </c>
      <c r="E990" s="141">
        <v>7497.02</v>
      </c>
      <c r="F990" s="141">
        <v>27.35</v>
      </c>
      <c r="G990" s="140">
        <v>2122</v>
      </c>
      <c r="H990" s="140">
        <v>270</v>
      </c>
      <c r="I990" s="142">
        <v>8</v>
      </c>
      <c r="J990" s="141">
        <v>111.78</v>
      </c>
      <c r="K990" s="141">
        <v>31.633739999999996</v>
      </c>
      <c r="T990">
        <v>2565</v>
      </c>
      <c r="U990">
        <v>1844</v>
      </c>
      <c r="V990">
        <v>270</v>
      </c>
      <c r="W990">
        <v>8</v>
      </c>
      <c r="X990">
        <v>1</v>
      </c>
      <c r="Y990">
        <v>31.633739999999996</v>
      </c>
      <c r="Z990">
        <v>9.55125E-2</v>
      </c>
      <c r="AA990">
        <v>293</v>
      </c>
      <c r="AB990">
        <v>150</v>
      </c>
    </row>
    <row r="991" spans="1:28" ht="14.25" x14ac:dyDescent="0.2">
      <c r="C991" s="35" t="s">
        <v>97</v>
      </c>
      <c r="D991" s="3"/>
      <c r="E991" s="139">
        <v>953.49</v>
      </c>
      <c r="F991" s="139">
        <v>4.3899999999999997</v>
      </c>
      <c r="G991" s="140"/>
      <c r="H991" s="140"/>
      <c r="I991" s="140">
        <v>1</v>
      </c>
      <c r="J991" s="139">
        <v>0.33750000000000002</v>
      </c>
      <c r="K991" s="139">
        <v>9.55125E-2</v>
      </c>
    </row>
    <row r="992" spans="1:28" x14ac:dyDescent="0.2">
      <c r="C992" s="36" t="s">
        <v>1330</v>
      </c>
    </row>
    <row r="993" spans="1:28" x14ac:dyDescent="0.2">
      <c r="C993" s="20" t="s">
        <v>89</v>
      </c>
      <c r="D993" s="37">
        <v>120</v>
      </c>
      <c r="E993" s="144">
        <v>1034.5103999999999</v>
      </c>
      <c r="F993" s="37" t="s">
        <v>1204</v>
      </c>
      <c r="G993" s="143">
        <v>293</v>
      </c>
      <c r="H993" s="37" t="s">
        <v>188</v>
      </c>
      <c r="I993" s="37"/>
      <c r="J993" s="37"/>
      <c r="K993" s="37"/>
    </row>
    <row r="994" spans="1:28" x14ac:dyDescent="0.2">
      <c r="C994" s="20" t="s">
        <v>92</v>
      </c>
      <c r="D994" s="37">
        <v>65</v>
      </c>
      <c r="E994" s="144">
        <v>529.2287</v>
      </c>
      <c r="F994" s="37" t="s">
        <v>1205</v>
      </c>
      <c r="G994" s="143">
        <v>150</v>
      </c>
      <c r="H994" s="37" t="s">
        <v>1206</v>
      </c>
      <c r="I994" s="37"/>
      <c r="J994" s="37"/>
      <c r="K994" s="37"/>
    </row>
    <row r="995" spans="1:28" x14ac:dyDescent="0.2">
      <c r="C995" s="20" t="s">
        <v>95</v>
      </c>
      <c r="D995" s="37"/>
      <c r="E995" s="144">
        <v>9060.7590999999993</v>
      </c>
      <c r="F995" s="37"/>
      <c r="G995" s="143">
        <v>2565</v>
      </c>
      <c r="H995" s="37"/>
      <c r="I995" s="37"/>
      <c r="J995" s="37"/>
      <c r="K995" s="37"/>
    </row>
    <row r="996" spans="1:28" ht="105" x14ac:dyDescent="0.2">
      <c r="A996" s="149" t="s">
        <v>309</v>
      </c>
      <c r="B996" s="149" t="s">
        <v>1435</v>
      </c>
      <c r="C996" s="145" t="s">
        <v>1350</v>
      </c>
      <c r="D996" s="3">
        <v>7.4999999999999997E-2</v>
      </c>
      <c r="E996" s="141">
        <v>64.900000000000006</v>
      </c>
      <c r="F996" s="141">
        <v>7.61</v>
      </c>
      <c r="G996" s="140">
        <v>5</v>
      </c>
      <c r="H996" s="140">
        <v>4</v>
      </c>
      <c r="I996" s="142">
        <v>1</v>
      </c>
      <c r="J996" s="141">
        <v>6.0949999999999998</v>
      </c>
      <c r="K996" s="141">
        <v>0.45712499999999995</v>
      </c>
      <c r="T996">
        <v>11</v>
      </c>
      <c r="U996">
        <v>0</v>
      </c>
      <c r="V996">
        <v>4</v>
      </c>
      <c r="W996">
        <v>1</v>
      </c>
      <c r="X996">
        <v>0</v>
      </c>
      <c r="Y996">
        <v>0.45712499999999995</v>
      </c>
      <c r="Z996">
        <v>1.03125E-2</v>
      </c>
      <c r="AA996">
        <v>4</v>
      </c>
      <c r="AB996">
        <v>2</v>
      </c>
    </row>
    <row r="997" spans="1:28" ht="14.25" x14ac:dyDescent="0.2">
      <c r="C997" s="35" t="s">
        <v>169</v>
      </c>
      <c r="D997" s="3"/>
      <c r="E997" s="139">
        <v>57.29</v>
      </c>
      <c r="F997" s="139">
        <v>1.6</v>
      </c>
      <c r="G997" s="140"/>
      <c r="H997" s="140"/>
      <c r="I997" s="140">
        <v>0</v>
      </c>
      <c r="J997" s="139">
        <v>0.13750000000000001</v>
      </c>
      <c r="K997" s="139">
        <v>1.03125E-2</v>
      </c>
    </row>
    <row r="998" spans="1:28" x14ac:dyDescent="0.2">
      <c r="C998" s="36" t="s">
        <v>1331</v>
      </c>
    </row>
    <row r="999" spans="1:28" x14ac:dyDescent="0.2">
      <c r="C999" s="20" t="s">
        <v>89</v>
      </c>
      <c r="D999" s="37">
        <v>120</v>
      </c>
      <c r="E999" s="144">
        <v>63.601199999999999</v>
      </c>
      <c r="F999" s="37" t="s">
        <v>1204</v>
      </c>
      <c r="G999" s="143">
        <v>4</v>
      </c>
      <c r="H999" s="37" t="s">
        <v>188</v>
      </c>
      <c r="I999" s="37"/>
      <c r="J999" s="37"/>
      <c r="K999" s="37"/>
    </row>
    <row r="1000" spans="1:28" x14ac:dyDescent="0.2">
      <c r="C1000" s="20" t="s">
        <v>92</v>
      </c>
      <c r="D1000" s="37">
        <v>65</v>
      </c>
      <c r="E1000" s="144">
        <v>32.536725000000004</v>
      </c>
      <c r="F1000" s="37" t="s">
        <v>1205</v>
      </c>
      <c r="G1000" s="143">
        <v>2</v>
      </c>
      <c r="H1000" s="37" t="s">
        <v>1206</v>
      </c>
      <c r="I1000" s="37"/>
      <c r="J1000" s="37"/>
      <c r="K1000" s="37"/>
    </row>
    <row r="1001" spans="1:28" x14ac:dyDescent="0.2">
      <c r="C1001" s="20" t="s">
        <v>95</v>
      </c>
      <c r="D1001" s="37"/>
      <c r="E1001" s="144">
        <v>161.037925</v>
      </c>
      <c r="F1001" s="37"/>
      <c r="G1001" s="143">
        <v>11</v>
      </c>
      <c r="H1001" s="37"/>
      <c r="I1001" s="37"/>
      <c r="J1001" s="37"/>
      <c r="K1001" s="37"/>
    </row>
    <row r="1002" spans="1:28" ht="114" x14ac:dyDescent="0.2">
      <c r="A1002" s="149" t="s">
        <v>1323</v>
      </c>
      <c r="B1002" s="149" t="s">
        <v>1412</v>
      </c>
      <c r="C1002" s="145" t="s">
        <v>1413</v>
      </c>
      <c r="D1002" s="3">
        <v>3.7499999999999999E-2</v>
      </c>
      <c r="E1002" s="141">
        <v>1</v>
      </c>
      <c r="F1002" s="141">
        <v>0</v>
      </c>
      <c r="G1002" s="140">
        <v>0</v>
      </c>
      <c r="H1002" s="140">
        <v>0</v>
      </c>
      <c r="I1002" s="142">
        <v>0</v>
      </c>
      <c r="J1002" s="141">
        <v>0</v>
      </c>
      <c r="K1002" s="141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</row>
    <row r="1003" spans="1:28" ht="14.25" x14ac:dyDescent="0.2">
      <c r="C1003" s="35" t="s">
        <v>1414</v>
      </c>
      <c r="D1003" s="3"/>
      <c r="E1003" s="139">
        <v>0</v>
      </c>
      <c r="F1003" s="139">
        <v>0</v>
      </c>
      <c r="G1003" s="140"/>
      <c r="H1003" s="140"/>
      <c r="I1003" s="140">
        <v>0</v>
      </c>
      <c r="J1003" s="139">
        <v>0</v>
      </c>
      <c r="K1003" s="139">
        <v>0</v>
      </c>
    </row>
    <row r="1004" spans="1:28" ht="114" x14ac:dyDescent="0.2">
      <c r="A1004" s="149" t="s">
        <v>310</v>
      </c>
      <c r="B1004" s="149" t="s">
        <v>1436</v>
      </c>
      <c r="C1004" s="145" t="s">
        <v>1437</v>
      </c>
      <c r="D1004" s="3">
        <v>4</v>
      </c>
      <c r="E1004" s="141">
        <v>144.34</v>
      </c>
      <c r="F1004" s="141">
        <v>0</v>
      </c>
      <c r="G1004" s="140">
        <v>577</v>
      </c>
      <c r="H1004" s="140">
        <v>0</v>
      </c>
      <c r="I1004" s="142">
        <v>0</v>
      </c>
      <c r="J1004" s="141">
        <v>0</v>
      </c>
      <c r="K1004" s="141">
        <v>0</v>
      </c>
      <c r="T1004">
        <v>577</v>
      </c>
      <c r="U1004">
        <v>577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</row>
    <row r="1005" spans="1:28" ht="14.25" x14ac:dyDescent="0.2">
      <c r="C1005" s="35" t="s">
        <v>158</v>
      </c>
      <c r="D1005" s="3"/>
      <c r="E1005" s="139">
        <v>0</v>
      </c>
      <c r="F1005" s="139">
        <v>0</v>
      </c>
      <c r="G1005" s="140"/>
      <c r="H1005" s="140"/>
      <c r="I1005" s="140">
        <v>0</v>
      </c>
      <c r="J1005" s="139">
        <v>0</v>
      </c>
      <c r="K1005" s="139">
        <v>0</v>
      </c>
    </row>
    <row r="1006" spans="1:28" x14ac:dyDescent="0.2">
      <c r="C1006" s="36" t="s">
        <v>1332</v>
      </c>
    </row>
    <row r="1007" spans="1:28" ht="119.25" x14ac:dyDescent="0.2">
      <c r="A1007" s="149" t="s">
        <v>311</v>
      </c>
      <c r="B1007" s="149" t="s">
        <v>1438</v>
      </c>
      <c r="C1007" s="145" t="s">
        <v>1349</v>
      </c>
      <c r="D1007" s="3">
        <v>8.8000000000000007</v>
      </c>
      <c r="E1007" s="141">
        <v>9.1199999999999992</v>
      </c>
      <c r="F1007" s="141">
        <v>0</v>
      </c>
      <c r="G1007" s="140">
        <v>81</v>
      </c>
      <c r="H1007" s="140">
        <v>12</v>
      </c>
      <c r="I1007" s="142">
        <v>0</v>
      </c>
      <c r="J1007" s="141">
        <v>0.13799999999999998</v>
      </c>
      <c r="K1007" s="141">
        <v>1.2143999999999999</v>
      </c>
      <c r="T1007">
        <v>101</v>
      </c>
      <c r="U1007">
        <v>69</v>
      </c>
      <c r="V1007">
        <v>12</v>
      </c>
      <c r="W1007">
        <v>0</v>
      </c>
      <c r="X1007">
        <v>0</v>
      </c>
      <c r="Y1007">
        <v>1.2143999999999999</v>
      </c>
      <c r="Z1007">
        <v>0</v>
      </c>
      <c r="AA1007">
        <v>13</v>
      </c>
      <c r="AB1007">
        <v>7</v>
      </c>
    </row>
    <row r="1008" spans="1:28" ht="14.25" x14ac:dyDescent="0.2">
      <c r="C1008" s="35" t="s">
        <v>171</v>
      </c>
      <c r="D1008" s="3"/>
      <c r="E1008" s="139">
        <v>1.32</v>
      </c>
      <c r="F1008" s="139">
        <v>0</v>
      </c>
      <c r="G1008" s="140"/>
      <c r="H1008" s="140"/>
      <c r="I1008" s="140">
        <v>0</v>
      </c>
      <c r="J1008" s="139">
        <v>0</v>
      </c>
      <c r="K1008" s="139">
        <v>0</v>
      </c>
    </row>
    <row r="1009" spans="1:28" x14ac:dyDescent="0.2">
      <c r="C1009" s="36" t="s">
        <v>1333</v>
      </c>
    </row>
    <row r="1010" spans="1:28" x14ac:dyDescent="0.2">
      <c r="C1010" s="20" t="s">
        <v>89</v>
      </c>
      <c r="D1010" s="37">
        <v>120</v>
      </c>
      <c r="E1010" s="144">
        <v>1.4256</v>
      </c>
      <c r="F1010" s="37" t="s">
        <v>1204</v>
      </c>
      <c r="G1010" s="143">
        <v>13</v>
      </c>
      <c r="H1010" s="37" t="s">
        <v>188</v>
      </c>
      <c r="I1010" s="37"/>
      <c r="J1010" s="37"/>
      <c r="K1010" s="37"/>
    </row>
    <row r="1011" spans="1:28" x14ac:dyDescent="0.2">
      <c r="C1011" s="20" t="s">
        <v>92</v>
      </c>
      <c r="D1011" s="37">
        <v>65</v>
      </c>
      <c r="E1011" s="144">
        <v>0.72930000000000006</v>
      </c>
      <c r="F1011" s="37" t="s">
        <v>1205</v>
      </c>
      <c r="G1011" s="143">
        <v>7</v>
      </c>
      <c r="H1011" s="37" t="s">
        <v>1206</v>
      </c>
      <c r="I1011" s="37"/>
      <c r="J1011" s="37"/>
      <c r="K1011" s="37"/>
    </row>
    <row r="1012" spans="1:28" x14ac:dyDescent="0.2">
      <c r="C1012" s="20" t="s">
        <v>95</v>
      </c>
      <c r="D1012" s="37"/>
      <c r="E1012" s="144">
        <v>11.274899999999999</v>
      </c>
      <c r="F1012" s="37"/>
      <c r="G1012" s="143">
        <v>101</v>
      </c>
      <c r="H1012" s="37"/>
      <c r="I1012" s="37"/>
      <c r="J1012" s="37"/>
      <c r="K1012" s="37"/>
    </row>
    <row r="1013" spans="1:28" ht="14.25" x14ac:dyDescent="0.2">
      <c r="A1013" s="149" t="s">
        <v>1324</v>
      </c>
      <c r="B1013" s="149" t="s">
        <v>1146</v>
      </c>
      <c r="C1013" s="145" t="s">
        <v>1334</v>
      </c>
      <c r="D1013" s="3">
        <v>8.8000000000000007</v>
      </c>
      <c r="E1013" s="141">
        <v>0</v>
      </c>
      <c r="F1013" s="141">
        <v>0</v>
      </c>
      <c r="G1013" s="140">
        <v>0</v>
      </c>
      <c r="H1013" s="140">
        <v>0</v>
      </c>
      <c r="I1013" s="142">
        <v>0</v>
      </c>
      <c r="J1013" s="141">
        <v>0</v>
      </c>
      <c r="K1013" s="141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</row>
    <row r="1014" spans="1:28" ht="14.25" x14ac:dyDescent="0.2">
      <c r="C1014" s="35" t="s">
        <v>171</v>
      </c>
      <c r="D1014" s="3"/>
      <c r="E1014" s="139">
        <v>0</v>
      </c>
      <c r="F1014" s="139">
        <v>0</v>
      </c>
      <c r="G1014" s="140"/>
      <c r="H1014" s="140"/>
      <c r="I1014" s="140">
        <v>0</v>
      </c>
      <c r="J1014" s="139">
        <v>0</v>
      </c>
      <c r="K1014" s="139">
        <v>0</v>
      </c>
    </row>
    <row r="1015" spans="1:28" ht="14.25" x14ac:dyDescent="0.2">
      <c r="A1015" s="149" t="s">
        <v>1326</v>
      </c>
      <c r="B1015" s="149" t="s">
        <v>1146</v>
      </c>
      <c r="C1015" s="145" t="s">
        <v>1335</v>
      </c>
      <c r="D1015" s="3">
        <v>17.600000000000001</v>
      </c>
      <c r="E1015" s="141">
        <v>0</v>
      </c>
      <c r="F1015" s="141">
        <v>0</v>
      </c>
      <c r="G1015" s="140">
        <v>0</v>
      </c>
      <c r="H1015" s="140">
        <v>0</v>
      </c>
      <c r="I1015" s="142">
        <v>0</v>
      </c>
      <c r="J1015" s="141">
        <v>0</v>
      </c>
      <c r="K1015" s="141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</row>
    <row r="1016" spans="1:28" ht="14.25" x14ac:dyDescent="0.2">
      <c r="C1016" s="35" t="s">
        <v>158</v>
      </c>
      <c r="D1016" s="3"/>
      <c r="E1016" s="139">
        <v>0</v>
      </c>
      <c r="F1016" s="139">
        <v>0</v>
      </c>
      <c r="G1016" s="140"/>
      <c r="H1016" s="140"/>
      <c r="I1016" s="140">
        <v>0</v>
      </c>
      <c r="J1016" s="139">
        <v>0</v>
      </c>
      <c r="K1016" s="139">
        <v>0</v>
      </c>
    </row>
    <row r="1017" spans="1:28" ht="114" x14ac:dyDescent="0.2">
      <c r="A1017" s="149" t="s">
        <v>312</v>
      </c>
      <c r="B1017" s="149" t="s">
        <v>1439</v>
      </c>
      <c r="C1017" s="145" t="s">
        <v>1440</v>
      </c>
      <c r="D1017" s="3">
        <v>4.4000000000000004</v>
      </c>
      <c r="E1017" s="141">
        <v>206</v>
      </c>
      <c r="F1017" s="141">
        <v>0</v>
      </c>
      <c r="G1017" s="140">
        <v>906</v>
      </c>
      <c r="H1017" s="140">
        <v>0</v>
      </c>
      <c r="I1017" s="142">
        <v>0</v>
      </c>
      <c r="J1017" s="141">
        <v>0</v>
      </c>
      <c r="K1017" s="141">
        <v>0</v>
      </c>
      <c r="T1017">
        <v>906</v>
      </c>
      <c r="U1017">
        <v>906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</row>
    <row r="1018" spans="1:28" ht="14.25" x14ac:dyDescent="0.2">
      <c r="C1018" s="35" t="s">
        <v>158</v>
      </c>
      <c r="D1018" s="3"/>
      <c r="E1018" s="139">
        <v>0</v>
      </c>
      <c r="F1018" s="139">
        <v>0</v>
      </c>
      <c r="G1018" s="140"/>
      <c r="H1018" s="140"/>
      <c r="I1018" s="140">
        <v>0</v>
      </c>
      <c r="J1018" s="139">
        <v>0</v>
      </c>
      <c r="K1018" s="139">
        <v>0</v>
      </c>
    </row>
    <row r="1019" spans="1:28" ht="114" x14ac:dyDescent="0.2">
      <c r="A1019" s="149" t="s">
        <v>314</v>
      </c>
      <c r="B1019" s="149" t="s">
        <v>1441</v>
      </c>
      <c r="C1019" s="145" t="s">
        <v>1442</v>
      </c>
      <c r="D1019" s="3">
        <v>16</v>
      </c>
      <c r="E1019" s="141">
        <v>57.82</v>
      </c>
      <c r="F1019" s="141">
        <v>0</v>
      </c>
      <c r="G1019" s="140">
        <v>925</v>
      </c>
      <c r="H1019" s="140">
        <v>0</v>
      </c>
      <c r="I1019" s="142">
        <v>0</v>
      </c>
      <c r="J1019" s="141">
        <v>0</v>
      </c>
      <c r="K1019" s="141">
        <v>0</v>
      </c>
      <c r="T1019">
        <v>925</v>
      </c>
      <c r="U1019">
        <v>925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</row>
    <row r="1020" spans="1:28" ht="14.25" x14ac:dyDescent="0.2">
      <c r="C1020" s="35" t="s">
        <v>158</v>
      </c>
      <c r="D1020" s="3"/>
      <c r="E1020" s="139">
        <v>0</v>
      </c>
      <c r="F1020" s="139">
        <v>0</v>
      </c>
      <c r="G1020" s="140"/>
      <c r="H1020" s="140"/>
      <c r="I1020" s="140">
        <v>0</v>
      </c>
      <c r="J1020" s="139">
        <v>0</v>
      </c>
      <c r="K1020" s="139">
        <v>0</v>
      </c>
    </row>
    <row r="1021" spans="1:28" ht="99.75" x14ac:dyDescent="0.2">
      <c r="A1021" s="149" t="s">
        <v>636</v>
      </c>
      <c r="B1021" s="149" t="s">
        <v>1443</v>
      </c>
      <c r="C1021" s="145" t="s">
        <v>1348</v>
      </c>
      <c r="D1021" s="3">
        <v>0.311</v>
      </c>
      <c r="E1021" s="141">
        <v>5388.8</v>
      </c>
      <c r="F1021" s="141">
        <v>26.47</v>
      </c>
      <c r="G1021" s="140">
        <v>1676</v>
      </c>
      <c r="H1021" s="140">
        <v>85</v>
      </c>
      <c r="I1021" s="142">
        <v>8</v>
      </c>
      <c r="J1021" s="141">
        <v>31.97</v>
      </c>
      <c r="K1021" s="141">
        <v>9.9426699999999997</v>
      </c>
      <c r="T1021">
        <v>1817</v>
      </c>
      <c r="U1021">
        <v>1583</v>
      </c>
      <c r="V1021">
        <v>85</v>
      </c>
      <c r="W1021">
        <v>8</v>
      </c>
      <c r="X1021">
        <v>1</v>
      </c>
      <c r="Y1021">
        <v>9.9426699999999997</v>
      </c>
      <c r="Z1021">
        <v>9.7187499999999996E-2</v>
      </c>
      <c r="AA1021">
        <v>93</v>
      </c>
      <c r="AB1021">
        <v>48</v>
      </c>
    </row>
    <row r="1022" spans="1:28" ht="14.25" x14ac:dyDescent="0.2">
      <c r="C1022" s="35" t="s">
        <v>169</v>
      </c>
      <c r="D1022" s="3"/>
      <c r="E1022" s="139">
        <v>272.7</v>
      </c>
      <c r="F1022" s="139">
        <v>4.01</v>
      </c>
      <c r="G1022" s="140"/>
      <c r="H1022" s="140"/>
      <c r="I1022" s="140">
        <v>1</v>
      </c>
      <c r="J1022" s="139">
        <v>0.3125</v>
      </c>
      <c r="K1022" s="139">
        <v>9.7187499999999996E-2</v>
      </c>
    </row>
    <row r="1023" spans="1:28" x14ac:dyDescent="0.2">
      <c r="C1023" s="36" t="s">
        <v>1336</v>
      </c>
    </row>
    <row r="1024" spans="1:28" x14ac:dyDescent="0.2">
      <c r="C1024" s="20" t="s">
        <v>89</v>
      </c>
      <c r="D1024" s="37">
        <v>120</v>
      </c>
      <c r="E1024" s="144">
        <v>298.84679999999997</v>
      </c>
      <c r="F1024" s="37" t="s">
        <v>1204</v>
      </c>
      <c r="G1024" s="143">
        <v>93</v>
      </c>
      <c r="H1024" s="37" t="s">
        <v>188</v>
      </c>
      <c r="I1024" s="37"/>
      <c r="J1024" s="37"/>
      <c r="K1024" s="37"/>
    </row>
    <row r="1025" spans="1:28" x14ac:dyDescent="0.2">
      <c r="C1025" s="20" t="s">
        <v>92</v>
      </c>
      <c r="D1025" s="37">
        <v>65</v>
      </c>
      <c r="E1025" s="144">
        <v>152.88227499999999</v>
      </c>
      <c r="F1025" s="37" t="s">
        <v>1205</v>
      </c>
      <c r="G1025" s="143">
        <v>48</v>
      </c>
      <c r="H1025" s="37" t="s">
        <v>1206</v>
      </c>
      <c r="I1025" s="37"/>
      <c r="J1025" s="37"/>
      <c r="K1025" s="37"/>
    </row>
    <row r="1026" spans="1:28" x14ac:dyDescent="0.2">
      <c r="C1026" s="20" t="s">
        <v>95</v>
      </c>
      <c r="D1026" s="37"/>
      <c r="E1026" s="144">
        <v>5840.5290750000004</v>
      </c>
      <c r="F1026" s="37"/>
      <c r="G1026" s="143">
        <v>1817</v>
      </c>
      <c r="H1026" s="37"/>
      <c r="I1026" s="37"/>
      <c r="J1026" s="37"/>
      <c r="K1026" s="37"/>
    </row>
    <row r="1027" spans="1:28" ht="105" x14ac:dyDescent="0.2">
      <c r="A1027" s="149" t="s">
        <v>637</v>
      </c>
      <c r="B1027" s="149" t="s">
        <v>1444</v>
      </c>
      <c r="C1027" s="145" t="s">
        <v>1347</v>
      </c>
      <c r="D1027" s="3">
        <v>3</v>
      </c>
      <c r="E1027" s="141">
        <v>1.99</v>
      </c>
      <c r="F1027" s="141">
        <v>0</v>
      </c>
      <c r="G1027" s="140">
        <v>6</v>
      </c>
      <c r="H1027" s="140">
        <v>6</v>
      </c>
      <c r="I1027" s="142">
        <v>0</v>
      </c>
      <c r="J1027" s="141">
        <v>0.20699999999999999</v>
      </c>
      <c r="K1027" s="141">
        <v>0.621</v>
      </c>
      <c r="T1027">
        <v>15</v>
      </c>
      <c r="U1027">
        <v>0</v>
      </c>
      <c r="V1027">
        <v>6</v>
      </c>
      <c r="W1027">
        <v>0</v>
      </c>
      <c r="X1027">
        <v>0</v>
      </c>
      <c r="Y1027">
        <v>0.621</v>
      </c>
      <c r="Z1027">
        <v>0</v>
      </c>
      <c r="AA1027">
        <v>6</v>
      </c>
      <c r="AB1027">
        <v>3</v>
      </c>
    </row>
    <row r="1028" spans="1:28" ht="14.25" x14ac:dyDescent="0.2">
      <c r="C1028" s="35" t="s">
        <v>158</v>
      </c>
      <c r="D1028" s="3"/>
      <c r="E1028" s="139">
        <v>1.99</v>
      </c>
      <c r="F1028" s="139">
        <v>0</v>
      </c>
      <c r="G1028" s="140"/>
      <c r="H1028" s="140"/>
      <c r="I1028" s="140">
        <v>0</v>
      </c>
      <c r="J1028" s="139">
        <v>0</v>
      </c>
      <c r="K1028" s="139">
        <v>0</v>
      </c>
    </row>
    <row r="1029" spans="1:28" x14ac:dyDescent="0.2">
      <c r="C1029" s="36" t="s">
        <v>1337</v>
      </c>
    </row>
    <row r="1030" spans="1:28" x14ac:dyDescent="0.2">
      <c r="C1030" s="20" t="s">
        <v>89</v>
      </c>
      <c r="D1030" s="37">
        <v>120</v>
      </c>
      <c r="E1030" s="144">
        <v>2.1492</v>
      </c>
      <c r="F1030" s="37" t="s">
        <v>1204</v>
      </c>
      <c r="G1030" s="143">
        <v>6</v>
      </c>
      <c r="H1030" s="37" t="s">
        <v>188</v>
      </c>
      <c r="I1030" s="37"/>
      <c r="J1030" s="37"/>
      <c r="K1030" s="37"/>
    </row>
    <row r="1031" spans="1:28" x14ac:dyDescent="0.2">
      <c r="C1031" s="20" t="s">
        <v>92</v>
      </c>
      <c r="D1031" s="37">
        <v>65</v>
      </c>
      <c r="E1031" s="144">
        <v>1.099475</v>
      </c>
      <c r="F1031" s="37" t="s">
        <v>1205</v>
      </c>
      <c r="G1031" s="143">
        <v>3</v>
      </c>
      <c r="H1031" s="37" t="s">
        <v>1206</v>
      </c>
      <c r="I1031" s="37"/>
      <c r="J1031" s="37"/>
      <c r="K1031" s="37"/>
    </row>
    <row r="1032" spans="1:28" x14ac:dyDescent="0.2">
      <c r="C1032" s="20" t="s">
        <v>95</v>
      </c>
      <c r="D1032" s="37"/>
      <c r="E1032" s="144">
        <v>5.2386749999999997</v>
      </c>
      <c r="F1032" s="37"/>
      <c r="G1032" s="143">
        <v>15</v>
      </c>
      <c r="H1032" s="37"/>
      <c r="I1032" s="37"/>
      <c r="J1032" s="37"/>
      <c r="K1032" s="37"/>
    </row>
    <row r="1033" spans="1:28" ht="14.25" x14ac:dyDescent="0.2">
      <c r="A1033" s="149" t="s">
        <v>1445</v>
      </c>
      <c r="B1033" s="149" t="s">
        <v>1146</v>
      </c>
      <c r="C1033" s="145" t="s">
        <v>1335</v>
      </c>
      <c r="D1033" s="3">
        <v>3</v>
      </c>
      <c r="E1033" s="141">
        <v>0</v>
      </c>
      <c r="F1033" s="141">
        <v>0</v>
      </c>
      <c r="G1033" s="140">
        <v>0</v>
      </c>
      <c r="H1033" s="140">
        <v>0</v>
      </c>
      <c r="I1033" s="142">
        <v>0</v>
      </c>
      <c r="J1033" s="141">
        <v>0</v>
      </c>
      <c r="K1033" s="141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</row>
    <row r="1034" spans="1:28" ht="14.25" x14ac:dyDescent="0.2">
      <c r="C1034" s="35" t="s">
        <v>158</v>
      </c>
      <c r="D1034" s="3"/>
      <c r="E1034" s="139">
        <v>0</v>
      </c>
      <c r="F1034" s="139">
        <v>0</v>
      </c>
      <c r="G1034" s="140"/>
      <c r="H1034" s="140"/>
      <c r="I1034" s="140">
        <v>0</v>
      </c>
      <c r="J1034" s="139">
        <v>0</v>
      </c>
      <c r="K1034" s="139">
        <v>0</v>
      </c>
    </row>
    <row r="1035" spans="1:28" ht="114" x14ac:dyDescent="0.2">
      <c r="A1035" s="149" t="s">
        <v>638</v>
      </c>
      <c r="B1035" s="149" t="s">
        <v>1446</v>
      </c>
      <c r="C1035" s="145" t="s">
        <v>1447</v>
      </c>
      <c r="D1035" s="3">
        <v>3</v>
      </c>
      <c r="E1035" s="141">
        <v>88.55</v>
      </c>
      <c r="F1035" s="141">
        <v>0</v>
      </c>
      <c r="G1035" s="140">
        <v>266</v>
      </c>
      <c r="H1035" s="140">
        <v>0</v>
      </c>
      <c r="I1035" s="142">
        <v>0</v>
      </c>
      <c r="J1035" s="141">
        <v>0</v>
      </c>
      <c r="K1035" s="141">
        <v>0</v>
      </c>
      <c r="T1035">
        <v>266</v>
      </c>
      <c r="U1035">
        <v>266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</row>
    <row r="1036" spans="1:28" ht="14.25" x14ac:dyDescent="0.2">
      <c r="C1036" s="35" t="s">
        <v>158</v>
      </c>
      <c r="D1036" s="3"/>
      <c r="E1036" s="139">
        <v>0</v>
      </c>
      <c r="F1036" s="139">
        <v>0</v>
      </c>
      <c r="G1036" s="140"/>
      <c r="H1036" s="140"/>
      <c r="I1036" s="140">
        <v>0</v>
      </c>
      <c r="J1036" s="139">
        <v>0</v>
      </c>
      <c r="K1036" s="139">
        <v>0</v>
      </c>
    </row>
    <row r="1037" spans="1:28" ht="114" x14ac:dyDescent="0.2">
      <c r="A1037" s="149" t="s">
        <v>639</v>
      </c>
      <c r="B1037" s="149" t="s">
        <v>1448</v>
      </c>
      <c r="C1037" s="145" t="s">
        <v>1449</v>
      </c>
      <c r="D1037" s="3">
        <v>3</v>
      </c>
      <c r="E1037" s="141">
        <v>108.43</v>
      </c>
      <c r="F1037" s="141">
        <v>0</v>
      </c>
      <c r="G1037" s="140">
        <v>325</v>
      </c>
      <c r="H1037" s="140">
        <v>0</v>
      </c>
      <c r="I1037" s="142">
        <v>0</v>
      </c>
      <c r="J1037" s="141">
        <v>0</v>
      </c>
      <c r="K1037" s="141">
        <v>0</v>
      </c>
      <c r="T1037">
        <v>325</v>
      </c>
      <c r="U1037">
        <v>325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</row>
    <row r="1038" spans="1:28" ht="14.25" x14ac:dyDescent="0.2">
      <c r="C1038" s="35" t="s">
        <v>158</v>
      </c>
      <c r="D1038" s="3"/>
      <c r="E1038" s="139">
        <v>0</v>
      </c>
      <c r="F1038" s="139">
        <v>0</v>
      </c>
      <c r="G1038" s="140"/>
      <c r="H1038" s="140"/>
      <c r="I1038" s="140">
        <v>0</v>
      </c>
      <c r="J1038" s="139">
        <v>0</v>
      </c>
      <c r="K1038" s="139">
        <v>0</v>
      </c>
    </row>
    <row r="1039" spans="1:28" ht="105" x14ac:dyDescent="0.2">
      <c r="A1039" s="149" t="s">
        <v>642</v>
      </c>
      <c r="B1039" s="149" t="s">
        <v>1450</v>
      </c>
      <c r="C1039" s="145" t="s">
        <v>1346</v>
      </c>
      <c r="D1039" s="3">
        <v>3</v>
      </c>
      <c r="E1039" s="141">
        <v>1.32</v>
      </c>
      <c r="F1039" s="141">
        <v>0</v>
      </c>
      <c r="G1039" s="140">
        <v>4</v>
      </c>
      <c r="H1039" s="140">
        <v>4</v>
      </c>
      <c r="I1039" s="142">
        <v>0</v>
      </c>
      <c r="J1039" s="141">
        <v>0.13799999999999998</v>
      </c>
      <c r="K1039" s="141">
        <v>0.41399999999999992</v>
      </c>
      <c r="T1039">
        <v>10</v>
      </c>
      <c r="U1039">
        <v>0</v>
      </c>
      <c r="V1039">
        <v>4</v>
      </c>
      <c r="W1039">
        <v>0</v>
      </c>
      <c r="X1039">
        <v>0</v>
      </c>
      <c r="Y1039">
        <v>0.41399999999999992</v>
      </c>
      <c r="Z1039">
        <v>0</v>
      </c>
      <c r="AA1039">
        <v>4</v>
      </c>
      <c r="AB1039">
        <v>2</v>
      </c>
    </row>
    <row r="1040" spans="1:28" ht="14.25" x14ac:dyDescent="0.2">
      <c r="C1040" s="35" t="s">
        <v>158</v>
      </c>
      <c r="D1040" s="3"/>
      <c r="E1040" s="139">
        <v>1.32</v>
      </c>
      <c r="F1040" s="139">
        <v>0</v>
      </c>
      <c r="G1040" s="140"/>
      <c r="H1040" s="140"/>
      <c r="I1040" s="140">
        <v>0</v>
      </c>
      <c r="J1040" s="139">
        <v>0</v>
      </c>
      <c r="K1040" s="139">
        <v>0</v>
      </c>
    </row>
    <row r="1041" spans="1:28" x14ac:dyDescent="0.2">
      <c r="C1041" s="36" t="s">
        <v>1337</v>
      </c>
    </row>
    <row r="1042" spans="1:28" x14ac:dyDescent="0.2">
      <c r="C1042" s="20" t="s">
        <v>89</v>
      </c>
      <c r="D1042" s="37">
        <v>120</v>
      </c>
      <c r="E1042" s="144">
        <v>1.4256</v>
      </c>
      <c r="F1042" s="37" t="s">
        <v>1204</v>
      </c>
      <c r="G1042" s="143">
        <v>4</v>
      </c>
      <c r="H1042" s="37" t="s">
        <v>188</v>
      </c>
      <c r="I1042" s="37"/>
      <c r="J1042" s="37"/>
      <c r="K1042" s="37"/>
    </row>
    <row r="1043" spans="1:28" x14ac:dyDescent="0.2">
      <c r="C1043" s="20" t="s">
        <v>92</v>
      </c>
      <c r="D1043" s="37">
        <v>65</v>
      </c>
      <c r="E1043" s="144">
        <v>0.72930000000000006</v>
      </c>
      <c r="F1043" s="37" t="s">
        <v>1205</v>
      </c>
      <c r="G1043" s="143">
        <v>2</v>
      </c>
      <c r="H1043" s="37" t="s">
        <v>1206</v>
      </c>
      <c r="I1043" s="37"/>
      <c r="J1043" s="37"/>
      <c r="K1043" s="37"/>
    </row>
    <row r="1044" spans="1:28" x14ac:dyDescent="0.2">
      <c r="C1044" s="20" t="s">
        <v>95</v>
      </c>
      <c r="D1044" s="37"/>
      <c r="E1044" s="144">
        <v>3.4748999999999999</v>
      </c>
      <c r="F1044" s="37"/>
      <c r="G1044" s="143">
        <v>10</v>
      </c>
      <c r="H1044" s="37"/>
      <c r="I1044" s="37"/>
      <c r="J1044" s="37"/>
      <c r="K1044" s="37"/>
    </row>
    <row r="1045" spans="1:28" ht="14.25" x14ac:dyDescent="0.2">
      <c r="A1045" s="149" t="s">
        <v>1451</v>
      </c>
      <c r="B1045" s="149" t="s">
        <v>1146</v>
      </c>
      <c r="C1045" s="145" t="s">
        <v>1335</v>
      </c>
      <c r="D1045" s="3">
        <v>3</v>
      </c>
      <c r="E1045" s="141">
        <v>0</v>
      </c>
      <c r="F1045" s="141">
        <v>0</v>
      </c>
      <c r="G1045" s="140">
        <v>0</v>
      </c>
      <c r="H1045" s="140">
        <v>0</v>
      </c>
      <c r="I1045" s="142">
        <v>0</v>
      </c>
      <c r="J1045" s="141">
        <v>0</v>
      </c>
      <c r="K1045" s="141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</row>
    <row r="1046" spans="1:28" ht="14.25" x14ac:dyDescent="0.2">
      <c r="C1046" s="35" t="s">
        <v>158</v>
      </c>
      <c r="D1046" s="3"/>
      <c r="E1046" s="139">
        <v>0</v>
      </c>
      <c r="F1046" s="139">
        <v>0</v>
      </c>
      <c r="G1046" s="140"/>
      <c r="H1046" s="140"/>
      <c r="I1046" s="140">
        <v>0</v>
      </c>
      <c r="J1046" s="139">
        <v>0</v>
      </c>
      <c r="K1046" s="139">
        <v>0</v>
      </c>
    </row>
    <row r="1047" spans="1:28" ht="114" x14ac:dyDescent="0.2">
      <c r="A1047" s="149" t="s">
        <v>644</v>
      </c>
      <c r="B1047" s="149" t="s">
        <v>1452</v>
      </c>
      <c r="C1047" s="145" t="s">
        <v>1453</v>
      </c>
      <c r="D1047" s="3">
        <v>3</v>
      </c>
      <c r="E1047" s="141">
        <v>101.19</v>
      </c>
      <c r="F1047" s="141">
        <v>0</v>
      </c>
      <c r="G1047" s="140">
        <v>304</v>
      </c>
      <c r="H1047" s="140">
        <v>0</v>
      </c>
      <c r="I1047" s="142">
        <v>0</v>
      </c>
      <c r="J1047" s="141">
        <v>0</v>
      </c>
      <c r="K1047" s="141">
        <v>0</v>
      </c>
      <c r="T1047">
        <v>304</v>
      </c>
      <c r="U1047">
        <v>304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</row>
    <row r="1048" spans="1:28" ht="14.25" x14ac:dyDescent="0.2">
      <c r="C1048" s="35" t="s">
        <v>158</v>
      </c>
      <c r="D1048" s="3"/>
      <c r="E1048" s="139">
        <v>0</v>
      </c>
      <c r="F1048" s="139">
        <v>0</v>
      </c>
      <c r="G1048" s="140"/>
      <c r="H1048" s="140"/>
      <c r="I1048" s="140">
        <v>0</v>
      </c>
      <c r="J1048" s="139">
        <v>0</v>
      </c>
      <c r="K1048" s="139">
        <v>0</v>
      </c>
    </row>
    <row r="1050" spans="1:28" ht="15" x14ac:dyDescent="0.25">
      <c r="A1050" s="4"/>
      <c r="B1050" s="4"/>
      <c r="C1050" s="187" t="s">
        <v>1339</v>
      </c>
      <c r="D1050" s="187"/>
      <c r="E1050" s="187"/>
      <c r="F1050" s="187"/>
      <c r="G1050" s="136">
        <f>IF(SUM(T814:T1049)=0, "-", SUM(T814:T1049))</f>
        <v>109925</v>
      </c>
      <c r="H1050" s="136">
        <f>IF(SUM(V814:V1049)=0, "-", SUM(V814:V1049))</f>
        <v>5041</v>
      </c>
      <c r="I1050" s="138">
        <f>IF(SUM(W814:W1049)=0, "-", SUM(W814:W1049))</f>
        <v>2362</v>
      </c>
      <c r="J1050" s="136"/>
      <c r="K1050" s="137">
        <f>IF(SUM(Y814:Y1049)=0, "-", SUM(Y814:Y1049))</f>
        <v>575.65893699999992</v>
      </c>
    </row>
    <row r="1051" spans="1:28" ht="15" x14ac:dyDescent="0.25">
      <c r="A1051" s="4"/>
      <c r="B1051" s="4"/>
      <c r="C1051" s="4"/>
      <c r="D1051" s="4"/>
      <c r="E1051" s="4"/>
      <c r="F1051" s="4"/>
      <c r="G1051" s="136"/>
      <c r="H1051" s="136"/>
      <c r="I1051" s="136">
        <f>IF(SUM(X814:X1049)=0, "-", SUM(X814:X1049))</f>
        <v>155</v>
      </c>
      <c r="J1051" s="136"/>
      <c r="K1051" s="135">
        <f>IF(SUM(Z814:Z1049)=0, "-", SUM(Z814:Z1049))</f>
        <v>13.246100000000002</v>
      </c>
    </row>
    <row r="1054" spans="1:28" ht="14.25" x14ac:dyDescent="0.2">
      <c r="C1054" s="183" t="s">
        <v>127</v>
      </c>
      <c r="D1054" s="183"/>
      <c r="E1054" s="183"/>
      <c r="F1054" s="183"/>
      <c r="G1054" s="183"/>
      <c r="H1054" s="172">
        <v>5041</v>
      </c>
      <c r="I1054" s="172"/>
    </row>
    <row r="1055" spans="1:28" ht="14.25" x14ac:dyDescent="0.2">
      <c r="C1055" s="183" t="s">
        <v>128</v>
      </c>
      <c r="D1055" s="183"/>
      <c r="E1055" s="183"/>
      <c r="F1055" s="183"/>
      <c r="G1055" s="183"/>
      <c r="H1055" s="172">
        <v>2362</v>
      </c>
      <c r="I1055" s="172"/>
    </row>
    <row r="1056" spans="1:28" ht="14.25" x14ac:dyDescent="0.2">
      <c r="C1056" s="183" t="s">
        <v>129</v>
      </c>
      <c r="D1056" s="183"/>
      <c r="E1056" s="183"/>
      <c r="F1056" s="183"/>
      <c r="G1056" s="183"/>
      <c r="H1056" s="172">
        <v>92187</v>
      </c>
      <c r="I1056" s="172"/>
    </row>
    <row r="1057" spans="1:11" ht="14.25" x14ac:dyDescent="0.2">
      <c r="C1057" s="183" t="s">
        <v>130</v>
      </c>
      <c r="D1057" s="183"/>
      <c r="E1057" s="183"/>
      <c r="F1057" s="183"/>
      <c r="G1057" s="183"/>
      <c r="H1057" s="172">
        <v>5434</v>
      </c>
      <c r="I1057" s="172"/>
    </row>
    <row r="1058" spans="1:11" ht="14.25" x14ac:dyDescent="0.2">
      <c r="C1058" s="183" t="s">
        <v>131</v>
      </c>
      <c r="D1058" s="183"/>
      <c r="E1058" s="183"/>
      <c r="F1058" s="183"/>
      <c r="G1058" s="183"/>
      <c r="H1058" s="172">
        <v>2887</v>
      </c>
      <c r="I1058" s="172"/>
    </row>
    <row r="1059" spans="1:11" ht="14.25" x14ac:dyDescent="0.2">
      <c r="C1059" s="183" t="s">
        <v>132</v>
      </c>
      <c r="D1059" s="183"/>
      <c r="E1059" s="183"/>
      <c r="F1059" s="183"/>
      <c r="G1059" s="183"/>
      <c r="H1059" s="172">
        <v>578</v>
      </c>
      <c r="I1059" s="172"/>
    </row>
    <row r="1060" spans="1:11" ht="14.25" x14ac:dyDescent="0.2">
      <c r="C1060" s="183" t="s">
        <v>133</v>
      </c>
      <c r="D1060" s="183"/>
      <c r="E1060" s="183"/>
      <c r="F1060" s="183"/>
      <c r="G1060" s="183"/>
      <c r="H1060" s="172">
        <v>1436</v>
      </c>
      <c r="I1060" s="172"/>
    </row>
    <row r="1061" spans="1:11" ht="14.25" x14ac:dyDescent="0.2">
      <c r="C1061" s="183" t="s">
        <v>134</v>
      </c>
      <c r="D1061" s="183"/>
      <c r="E1061" s="183"/>
      <c r="F1061" s="183"/>
      <c r="G1061" s="183"/>
      <c r="H1061" s="172">
        <v>109925</v>
      </c>
      <c r="I1061" s="172"/>
    </row>
    <row r="1063" spans="1:11" ht="15" x14ac:dyDescent="0.25">
      <c r="A1063" s="4"/>
      <c r="B1063" s="4"/>
      <c r="C1063" s="187" t="s">
        <v>1340</v>
      </c>
      <c r="D1063" s="187"/>
      <c r="E1063" s="187"/>
      <c r="F1063" s="187"/>
      <c r="G1063" s="136">
        <f>IF(SUM(T20:T1062)=0, "-", SUM(T20:T1062))</f>
        <v>588891</v>
      </c>
      <c r="H1063" s="136">
        <f>IF(SUM(V20:V1062)=0, "-", SUM(V20:V1062))</f>
        <v>43752</v>
      </c>
      <c r="I1063" s="138">
        <f>IF(SUM(W20:W1062)=0, "-", SUM(W20:W1062))</f>
        <v>19030</v>
      </c>
      <c r="J1063" s="136"/>
      <c r="K1063" s="137">
        <f>IF(SUM(Y20:Y1062)=0, "-", SUM(Y20:Y1062))</f>
        <v>4927.0537439999989</v>
      </c>
    </row>
    <row r="1064" spans="1:11" ht="15" x14ac:dyDescent="0.25">
      <c r="A1064" s="4"/>
      <c r="B1064" s="4"/>
      <c r="C1064" s="4"/>
      <c r="D1064" s="4"/>
      <c r="E1064" s="4"/>
      <c r="F1064" s="4"/>
      <c r="G1064" s="136"/>
      <c r="H1064" s="136"/>
      <c r="I1064" s="136">
        <f>IF(SUM(X20:X1062)=0, "-", SUM(X20:X1062))</f>
        <v>2203</v>
      </c>
      <c r="J1064" s="136"/>
      <c r="K1064" s="135">
        <f>IF(SUM(Z20:Z1062)=0, "-", SUM(Z20:Z1062))</f>
        <v>174.88960900000001</v>
      </c>
    </row>
    <row r="1067" spans="1:11" ht="14.25" x14ac:dyDescent="0.2">
      <c r="C1067" s="183" t="s">
        <v>127</v>
      </c>
      <c r="D1067" s="183"/>
      <c r="E1067" s="183"/>
      <c r="F1067" s="183"/>
      <c r="G1067" s="183"/>
      <c r="H1067" s="172">
        <v>43752</v>
      </c>
      <c r="I1067" s="172"/>
    </row>
    <row r="1068" spans="1:11" ht="14.25" x14ac:dyDescent="0.2">
      <c r="C1068" s="183" t="s">
        <v>128</v>
      </c>
      <c r="D1068" s="183"/>
      <c r="E1068" s="183"/>
      <c r="F1068" s="183"/>
      <c r="G1068" s="183"/>
      <c r="H1068" s="172">
        <v>19030</v>
      </c>
      <c r="I1068" s="172"/>
    </row>
    <row r="1069" spans="1:11" ht="14.25" x14ac:dyDescent="0.2">
      <c r="C1069" s="183" t="s">
        <v>129</v>
      </c>
      <c r="D1069" s="183"/>
      <c r="E1069" s="183"/>
      <c r="F1069" s="183"/>
      <c r="G1069" s="183"/>
      <c r="H1069" s="172">
        <v>447070</v>
      </c>
      <c r="I1069" s="172"/>
    </row>
    <row r="1070" spans="1:11" ht="14.25" x14ac:dyDescent="0.2">
      <c r="C1070" s="183" t="s">
        <v>130</v>
      </c>
      <c r="D1070" s="183"/>
      <c r="E1070" s="183"/>
      <c r="F1070" s="183"/>
      <c r="G1070" s="183"/>
      <c r="H1070" s="172">
        <v>44505</v>
      </c>
      <c r="I1070" s="172"/>
    </row>
    <row r="1071" spans="1:11" ht="14.25" x14ac:dyDescent="0.2">
      <c r="C1071" s="183" t="s">
        <v>131</v>
      </c>
      <c r="D1071" s="183"/>
      <c r="E1071" s="183"/>
      <c r="F1071" s="183"/>
      <c r="G1071" s="183"/>
      <c r="H1071" s="172">
        <v>28188</v>
      </c>
      <c r="I1071" s="172"/>
    </row>
    <row r="1072" spans="1:11" ht="14.25" x14ac:dyDescent="0.2">
      <c r="C1072" s="183" t="s">
        <v>132</v>
      </c>
      <c r="D1072" s="183"/>
      <c r="E1072" s="183"/>
      <c r="F1072" s="183"/>
      <c r="G1072" s="183"/>
      <c r="H1072" s="172">
        <v>1803</v>
      </c>
      <c r="I1072" s="172"/>
    </row>
    <row r="1073" spans="1:11" ht="14.25" x14ac:dyDescent="0.2">
      <c r="C1073" s="183" t="s">
        <v>133</v>
      </c>
      <c r="D1073" s="183"/>
      <c r="E1073" s="183"/>
      <c r="F1073" s="183"/>
      <c r="G1073" s="183"/>
      <c r="H1073" s="172">
        <v>4543</v>
      </c>
      <c r="I1073" s="172"/>
    </row>
    <row r="1074" spans="1:11" ht="14.25" x14ac:dyDescent="0.2">
      <c r="C1074" s="183" t="s">
        <v>134</v>
      </c>
      <c r="D1074" s="183"/>
      <c r="E1074" s="183"/>
      <c r="F1074" s="183"/>
      <c r="G1074" s="183"/>
      <c r="H1074" s="172">
        <v>588891</v>
      </c>
      <c r="I1074" s="172"/>
    </row>
    <row r="1076" spans="1:11" ht="14.25" x14ac:dyDescent="0.2">
      <c r="A1076" s="173" t="s">
        <v>315</v>
      </c>
      <c r="B1076" s="173"/>
      <c r="C1076" s="151" t="s">
        <v>316</v>
      </c>
      <c r="D1076" s="31"/>
      <c r="E1076" s="31"/>
      <c r="F1076" s="31"/>
      <c r="G1076" s="31"/>
      <c r="H1076" s="31"/>
      <c r="I1076" s="150" t="s">
        <v>317</v>
      </c>
      <c r="J1076" s="3"/>
      <c r="K1076" s="3"/>
    </row>
    <row r="1077" spans="1:11" ht="14.25" x14ac:dyDescent="0.2">
      <c r="A1077" s="3"/>
      <c r="B1077" s="3"/>
      <c r="C1077" s="189" t="s">
        <v>318</v>
      </c>
      <c r="D1077" s="189"/>
      <c r="E1077" s="189"/>
      <c r="F1077" s="189"/>
      <c r="G1077" s="189"/>
      <c r="H1077" s="189"/>
      <c r="I1077" s="3"/>
      <c r="J1077" s="3"/>
      <c r="K1077" s="3"/>
    </row>
    <row r="1078" spans="1:11" ht="14.25" x14ac:dyDescent="0.2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</row>
    <row r="1079" spans="1:11" ht="14.25" x14ac:dyDescent="0.2">
      <c r="A1079" s="173" t="s">
        <v>319</v>
      </c>
      <c r="B1079" s="173"/>
      <c r="C1079" s="151" t="s">
        <v>320</v>
      </c>
      <c r="D1079" s="31"/>
      <c r="E1079" s="31"/>
      <c r="F1079" s="31"/>
      <c r="G1079" s="31"/>
      <c r="H1079" s="31"/>
      <c r="I1079" s="150" t="s">
        <v>321</v>
      </c>
      <c r="J1079" s="3"/>
      <c r="K1079" s="3"/>
    </row>
    <row r="1080" spans="1:11" ht="14.25" x14ac:dyDescent="0.2">
      <c r="A1080" s="3"/>
      <c r="B1080" s="3"/>
      <c r="C1080" s="189" t="s">
        <v>318</v>
      </c>
      <c r="D1080" s="189"/>
      <c r="E1080" s="189"/>
      <c r="F1080" s="189"/>
      <c r="G1080" s="189"/>
      <c r="H1080" s="189"/>
      <c r="I1080" s="3"/>
      <c r="J1080" s="3"/>
      <c r="K1080" s="3"/>
    </row>
  </sheetData>
  <mergeCells count="233">
    <mergeCell ref="C1063:F1063"/>
    <mergeCell ref="C1067:G1067"/>
    <mergeCell ref="H1067:I1067"/>
    <mergeCell ref="C1068:G1068"/>
    <mergeCell ref="H1068:I1068"/>
    <mergeCell ref="C1069:G1069"/>
    <mergeCell ref="H1069:I1069"/>
    <mergeCell ref="A1079:B1079"/>
    <mergeCell ref="C1080:H1080"/>
    <mergeCell ref="A1076:B1076"/>
    <mergeCell ref="C1077:H1077"/>
    <mergeCell ref="C1072:G1072"/>
    <mergeCell ref="H1072:I1072"/>
    <mergeCell ref="C1073:G1073"/>
    <mergeCell ref="H1073:I1073"/>
    <mergeCell ref="C1074:G1074"/>
    <mergeCell ref="H1074:I1074"/>
    <mergeCell ref="H810:I810"/>
    <mergeCell ref="C811:G811"/>
    <mergeCell ref="H811:I811"/>
    <mergeCell ref="C812:G812"/>
    <mergeCell ref="H812:I812"/>
    <mergeCell ref="A814:K814"/>
    <mergeCell ref="C1070:G1070"/>
    <mergeCell ref="H1070:I1070"/>
    <mergeCell ref="C1071:G1071"/>
    <mergeCell ref="H1071:I1071"/>
    <mergeCell ref="C1055:G1055"/>
    <mergeCell ref="H1055:I1055"/>
    <mergeCell ref="C1056:G1056"/>
    <mergeCell ref="H1056:I1056"/>
    <mergeCell ref="C1057:G1057"/>
    <mergeCell ref="H1057:I1057"/>
    <mergeCell ref="C1058:G1058"/>
    <mergeCell ref="H1058:I1058"/>
    <mergeCell ref="C1059:G1059"/>
    <mergeCell ref="H1059:I1059"/>
    <mergeCell ref="C1060:G1060"/>
    <mergeCell ref="H1060:I1060"/>
    <mergeCell ref="C1061:G1061"/>
    <mergeCell ref="H1061:I1061"/>
    <mergeCell ref="A740:K740"/>
    <mergeCell ref="C768:F768"/>
    <mergeCell ref="C772:G772"/>
    <mergeCell ref="H772:I772"/>
    <mergeCell ref="C773:G773"/>
    <mergeCell ref="H773:I773"/>
    <mergeCell ref="C1050:F1050"/>
    <mergeCell ref="C1054:G1054"/>
    <mergeCell ref="H1054:I1054"/>
    <mergeCell ref="C775:G775"/>
    <mergeCell ref="H775:I775"/>
    <mergeCell ref="C776:G776"/>
    <mergeCell ref="H776:I776"/>
    <mergeCell ref="C777:G777"/>
    <mergeCell ref="H777:I777"/>
    <mergeCell ref="A779:K779"/>
    <mergeCell ref="C803:F803"/>
    <mergeCell ref="C807:G807"/>
    <mergeCell ref="H807:I807"/>
    <mergeCell ref="C808:G808"/>
    <mergeCell ref="H808:I808"/>
    <mergeCell ref="C809:G809"/>
    <mergeCell ref="H809:I809"/>
    <mergeCell ref="C810:G810"/>
    <mergeCell ref="C672:G672"/>
    <mergeCell ref="H672:I672"/>
    <mergeCell ref="C673:G673"/>
    <mergeCell ref="H673:I673"/>
    <mergeCell ref="C674:G674"/>
    <mergeCell ref="H674:I674"/>
    <mergeCell ref="C774:G774"/>
    <mergeCell ref="H774:I774"/>
    <mergeCell ref="C676:G676"/>
    <mergeCell ref="H676:I676"/>
    <mergeCell ref="A678:K678"/>
    <mergeCell ref="C729:F729"/>
    <mergeCell ref="C733:G733"/>
    <mergeCell ref="H733:I733"/>
    <mergeCell ref="C734:G734"/>
    <mergeCell ref="H734:I734"/>
    <mergeCell ref="C735:G735"/>
    <mergeCell ref="H735:I735"/>
    <mergeCell ref="C736:G736"/>
    <mergeCell ref="H736:I736"/>
    <mergeCell ref="C737:G737"/>
    <mergeCell ref="H737:I737"/>
    <mergeCell ref="C738:G738"/>
    <mergeCell ref="H738:I738"/>
    <mergeCell ref="C604:G604"/>
    <mergeCell ref="H604:I604"/>
    <mergeCell ref="A606:K606"/>
    <mergeCell ref="C633:F633"/>
    <mergeCell ref="C637:G637"/>
    <mergeCell ref="H637:I637"/>
    <mergeCell ref="C675:G675"/>
    <mergeCell ref="H675:I675"/>
    <mergeCell ref="C639:G639"/>
    <mergeCell ref="H639:I639"/>
    <mergeCell ref="C640:G640"/>
    <mergeCell ref="H640:I640"/>
    <mergeCell ref="C641:G641"/>
    <mergeCell ref="H641:I641"/>
    <mergeCell ref="C642:G642"/>
    <mergeCell ref="H642:I642"/>
    <mergeCell ref="A644:K644"/>
    <mergeCell ref="C665:F665"/>
    <mergeCell ref="C669:G669"/>
    <mergeCell ref="H669:I669"/>
    <mergeCell ref="C670:G670"/>
    <mergeCell ref="H670:I670"/>
    <mergeCell ref="C671:G671"/>
    <mergeCell ref="H671:I671"/>
    <mergeCell ref="C558:G558"/>
    <mergeCell ref="H558:I558"/>
    <mergeCell ref="C559:G559"/>
    <mergeCell ref="H559:I559"/>
    <mergeCell ref="C560:G560"/>
    <mergeCell ref="H560:I560"/>
    <mergeCell ref="C638:G638"/>
    <mergeCell ref="H638:I638"/>
    <mergeCell ref="C562:G562"/>
    <mergeCell ref="H562:I562"/>
    <mergeCell ref="C563:G563"/>
    <mergeCell ref="H563:I563"/>
    <mergeCell ref="A565:K565"/>
    <mergeCell ref="C595:F595"/>
    <mergeCell ref="C599:G599"/>
    <mergeCell ref="H599:I599"/>
    <mergeCell ref="C600:G600"/>
    <mergeCell ref="H600:I600"/>
    <mergeCell ref="C601:G601"/>
    <mergeCell ref="H601:I601"/>
    <mergeCell ref="C602:G602"/>
    <mergeCell ref="H602:I602"/>
    <mergeCell ref="C603:G603"/>
    <mergeCell ref="H603:I603"/>
    <mergeCell ref="H316:I316"/>
    <mergeCell ref="C317:G317"/>
    <mergeCell ref="H317:I317"/>
    <mergeCell ref="C318:G318"/>
    <mergeCell ref="H318:I318"/>
    <mergeCell ref="C561:G561"/>
    <mergeCell ref="H561:I561"/>
    <mergeCell ref="B357:J357"/>
    <mergeCell ref="B419:J419"/>
    <mergeCell ref="C523:F523"/>
    <mergeCell ref="C527:G527"/>
    <mergeCell ref="H527:I527"/>
    <mergeCell ref="C528:G528"/>
    <mergeCell ref="H528:I528"/>
    <mergeCell ref="C529:G529"/>
    <mergeCell ref="H529:I529"/>
    <mergeCell ref="C530:G530"/>
    <mergeCell ref="H530:I530"/>
    <mergeCell ref="C531:G531"/>
    <mergeCell ref="H531:I531"/>
    <mergeCell ref="C532:G532"/>
    <mergeCell ref="H532:I532"/>
    <mergeCell ref="A534:K534"/>
    <mergeCell ref="C554:F554"/>
    <mergeCell ref="H131:I131"/>
    <mergeCell ref="A133:K133"/>
    <mergeCell ref="C173:F173"/>
    <mergeCell ref="C177:G177"/>
    <mergeCell ref="H177:I177"/>
    <mergeCell ref="A320:K320"/>
    <mergeCell ref="B322:J322"/>
    <mergeCell ref="C179:G179"/>
    <mergeCell ref="H179:I179"/>
    <mergeCell ref="C180:G180"/>
    <mergeCell ref="H180:I180"/>
    <mergeCell ref="C181:G181"/>
    <mergeCell ref="H181:I181"/>
    <mergeCell ref="C182:G182"/>
    <mergeCell ref="H182:I182"/>
    <mergeCell ref="A184:K184"/>
    <mergeCell ref="C309:F309"/>
    <mergeCell ref="C313:G313"/>
    <mergeCell ref="H313:I313"/>
    <mergeCell ref="C314:G314"/>
    <mergeCell ref="H314:I314"/>
    <mergeCell ref="C315:G315"/>
    <mergeCell ref="H315:I315"/>
    <mergeCell ref="C316:G316"/>
    <mergeCell ref="A8:K8"/>
    <mergeCell ref="A10:E12"/>
    <mergeCell ref="F10:H10"/>
    <mergeCell ref="I10:J10"/>
    <mergeCell ref="C178:G178"/>
    <mergeCell ref="H178:I178"/>
    <mergeCell ref="A20:K20"/>
    <mergeCell ref="A22:K22"/>
    <mergeCell ref="C120:F120"/>
    <mergeCell ref="C124:G124"/>
    <mergeCell ref="H124:I124"/>
    <mergeCell ref="C125:G125"/>
    <mergeCell ref="H125:I125"/>
    <mergeCell ref="C126:G126"/>
    <mergeCell ref="H126:I126"/>
    <mergeCell ref="C127:G127"/>
    <mergeCell ref="H127:I127"/>
    <mergeCell ref="C128:G128"/>
    <mergeCell ref="H128:I128"/>
    <mergeCell ref="C129:G129"/>
    <mergeCell ref="H129:I129"/>
    <mergeCell ref="C130:G130"/>
    <mergeCell ref="H130:I130"/>
    <mergeCell ref="C131:G131"/>
    <mergeCell ref="F11:H11"/>
    <mergeCell ref="I11:J11"/>
    <mergeCell ref="F12:H12"/>
    <mergeCell ref="I12:J12"/>
    <mergeCell ref="A3:B3"/>
    <mergeCell ref="C3:K3"/>
    <mergeCell ref="A5:K5"/>
    <mergeCell ref="A6:K6"/>
    <mergeCell ref="J13:K15"/>
    <mergeCell ref="E14:E15"/>
    <mergeCell ref="F14:F15"/>
    <mergeCell ref="G14:G17"/>
    <mergeCell ref="H14:H17"/>
    <mergeCell ref="I14:I15"/>
    <mergeCell ref="E16:E17"/>
    <mergeCell ref="F16:F17"/>
    <mergeCell ref="I16:I17"/>
    <mergeCell ref="J16:K16"/>
    <mergeCell ref="A13:A17"/>
    <mergeCell ref="B13:B17"/>
    <mergeCell ref="C13:C17"/>
    <mergeCell ref="D13:D17"/>
    <mergeCell ref="E13:F13"/>
    <mergeCell ref="G13:I13"/>
  </mergeCells>
  <pageMargins left="0.4" right="0.2" top="0.2" bottom="0.4" header="0.2" footer="0.2"/>
  <pageSetup paperSize="9" scale="60" fitToHeight="0" orientation="portrait" r:id="rId1"/>
  <headerFooter>
    <oddHeader>&amp;L&amp;8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312"/>
  <sheetViews>
    <sheetView workbookViewId="0">
      <selection activeCell="A10" sqref="A10:E15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32" width="0" hidden="1" customWidth="1"/>
    <col min="33" max="33" width="76.7109375" hidden="1" customWidth="1"/>
    <col min="34" max="37" width="0" hidden="1" customWidth="1"/>
  </cols>
  <sheetData>
    <row r="1" spans="1:13" x14ac:dyDescent="0.2">
      <c r="A1" s="2" t="s">
        <v>61</v>
      </c>
      <c r="K1" s="2" t="s">
        <v>62</v>
      </c>
    </row>
    <row r="2" spans="1:13" ht="14.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2.25" customHeight="1" x14ac:dyDescent="0.25">
      <c r="A3" s="177" t="s">
        <v>63</v>
      </c>
      <c r="B3" s="177"/>
      <c r="C3" s="178" t="s">
        <v>322</v>
      </c>
      <c r="D3" s="178"/>
      <c r="E3" s="178"/>
      <c r="F3" s="178"/>
      <c r="G3" s="178"/>
      <c r="H3" s="178"/>
      <c r="I3" s="178"/>
      <c r="J3" s="178"/>
      <c r="K3" s="178"/>
      <c r="L3" s="3"/>
      <c r="M3" s="3"/>
    </row>
    <row r="4" spans="1:13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"/>
      <c r="M4" s="3"/>
    </row>
    <row r="5" spans="1:13" ht="18" x14ac:dyDescent="0.25">
      <c r="A5" s="179" t="s">
        <v>323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3"/>
      <c r="M5" s="3"/>
    </row>
    <row r="6" spans="1:13" ht="18" x14ac:dyDescent="0.25">
      <c r="A6" s="180" t="s">
        <v>324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3"/>
      <c r="M6" s="3"/>
    </row>
    <row r="7" spans="1:13" ht="14.25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"/>
      <c r="M7" s="3"/>
    </row>
    <row r="8" spans="1:13" ht="14.25" x14ac:dyDescent="0.2">
      <c r="A8" s="183" t="s">
        <v>325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3"/>
      <c r="M8" s="3"/>
    </row>
    <row r="9" spans="1:13" ht="14.25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"/>
      <c r="M9" s="3"/>
    </row>
    <row r="10" spans="1:13" ht="14.25" x14ac:dyDescent="0.2">
      <c r="A10" s="184" t="s">
        <v>67</v>
      </c>
      <c r="B10" s="184"/>
      <c r="C10" s="184"/>
      <c r="D10" s="184"/>
      <c r="E10" s="184"/>
      <c r="F10" s="171" t="s">
        <v>68</v>
      </c>
      <c r="G10" s="171"/>
      <c r="H10" s="171"/>
      <c r="I10" s="172">
        <v>17.798999999999999</v>
      </c>
      <c r="J10" s="173"/>
      <c r="K10" s="157" t="s">
        <v>69</v>
      </c>
      <c r="L10" s="3"/>
      <c r="M10" s="3"/>
    </row>
    <row r="11" spans="1:13" ht="14.25" x14ac:dyDescent="0.2">
      <c r="A11" s="184"/>
      <c r="B11" s="184"/>
      <c r="C11" s="184"/>
      <c r="D11" s="184"/>
      <c r="E11" s="184"/>
      <c r="F11" s="171" t="s">
        <v>326</v>
      </c>
      <c r="G11" s="171"/>
      <c r="H11" s="171"/>
      <c r="I11" s="172">
        <v>15.01</v>
      </c>
      <c r="J11" s="173"/>
      <c r="K11" s="157" t="s">
        <v>69</v>
      </c>
      <c r="L11" s="3"/>
      <c r="M11" s="3"/>
    </row>
    <row r="12" spans="1:13" ht="14.25" x14ac:dyDescent="0.2">
      <c r="A12" s="184"/>
      <c r="B12" s="184"/>
      <c r="C12" s="184"/>
      <c r="D12" s="184"/>
      <c r="E12" s="184"/>
      <c r="F12" s="171" t="s">
        <v>327</v>
      </c>
      <c r="G12" s="171"/>
      <c r="H12" s="171"/>
      <c r="I12" s="172">
        <v>0.06</v>
      </c>
      <c r="J12" s="173"/>
      <c r="K12" s="157" t="s">
        <v>69</v>
      </c>
      <c r="L12" s="3"/>
      <c r="M12" s="3"/>
    </row>
    <row r="13" spans="1:13" ht="14.25" x14ac:dyDescent="0.2">
      <c r="A13" s="184"/>
      <c r="B13" s="184"/>
      <c r="C13" s="184"/>
      <c r="D13" s="184"/>
      <c r="E13" s="184"/>
      <c r="F13" s="171" t="s">
        <v>328</v>
      </c>
      <c r="G13" s="171"/>
      <c r="H13" s="171"/>
      <c r="I13" s="172">
        <v>2.73</v>
      </c>
      <c r="J13" s="173"/>
      <c r="K13" s="157" t="s">
        <v>69</v>
      </c>
      <c r="L13" s="3"/>
      <c r="M13" s="3"/>
    </row>
    <row r="14" spans="1:13" ht="14.25" x14ac:dyDescent="0.2">
      <c r="A14" s="184"/>
      <c r="B14" s="184"/>
      <c r="C14" s="184"/>
      <c r="D14" s="184"/>
      <c r="E14" s="184"/>
      <c r="F14" s="171" t="s">
        <v>70</v>
      </c>
      <c r="G14" s="171"/>
      <c r="H14" s="171"/>
      <c r="I14" s="172">
        <v>214.78406199999998</v>
      </c>
      <c r="J14" s="173"/>
      <c r="K14" s="157" t="s">
        <v>71</v>
      </c>
      <c r="L14" s="3"/>
      <c r="M14" s="3"/>
    </row>
    <row r="15" spans="1:13" ht="14.25" x14ac:dyDescent="0.2">
      <c r="A15" s="185"/>
      <c r="B15" s="185"/>
      <c r="C15" s="185"/>
      <c r="D15" s="185"/>
      <c r="E15" s="185"/>
      <c r="F15" s="174" t="s">
        <v>72</v>
      </c>
      <c r="G15" s="174"/>
      <c r="H15" s="174"/>
      <c r="I15" s="175">
        <v>1.857</v>
      </c>
      <c r="J15" s="176"/>
      <c r="K15" s="157" t="s">
        <v>69</v>
      </c>
      <c r="L15" s="3"/>
      <c r="M15" s="3"/>
    </row>
    <row r="16" spans="1:13" ht="14.25" x14ac:dyDescent="0.2">
      <c r="A16" s="181" t="s">
        <v>16</v>
      </c>
      <c r="B16" s="181" t="s">
        <v>73</v>
      </c>
      <c r="C16" s="181" t="s">
        <v>74</v>
      </c>
      <c r="D16" s="181" t="s">
        <v>75</v>
      </c>
      <c r="E16" s="181" t="s">
        <v>76</v>
      </c>
      <c r="F16" s="181"/>
      <c r="G16" s="182" t="s">
        <v>77</v>
      </c>
      <c r="H16" s="182"/>
      <c r="I16" s="182"/>
      <c r="J16" s="181" t="s">
        <v>78</v>
      </c>
      <c r="K16" s="181"/>
      <c r="L16" s="3"/>
      <c r="M16" s="3"/>
    </row>
    <row r="17" spans="1:28" ht="20.100000000000001" customHeight="1" x14ac:dyDescent="0.2">
      <c r="A17" s="181"/>
      <c r="B17" s="181"/>
      <c r="C17" s="181"/>
      <c r="D17" s="181"/>
      <c r="E17" s="181" t="s">
        <v>79</v>
      </c>
      <c r="F17" s="181" t="s">
        <v>80</v>
      </c>
      <c r="G17" s="181" t="s">
        <v>79</v>
      </c>
      <c r="H17" s="181" t="s">
        <v>81</v>
      </c>
      <c r="I17" s="181" t="s">
        <v>80</v>
      </c>
      <c r="J17" s="181"/>
      <c r="K17" s="181"/>
      <c r="L17" s="3"/>
      <c r="M17" s="3"/>
    </row>
    <row r="18" spans="1:28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3"/>
      <c r="M18" s="3"/>
    </row>
    <row r="19" spans="1:28" ht="20.100000000000001" customHeight="1" x14ac:dyDescent="0.2">
      <c r="A19" s="181"/>
      <c r="B19" s="181"/>
      <c r="C19" s="181"/>
      <c r="D19" s="181"/>
      <c r="E19" s="181" t="s">
        <v>82</v>
      </c>
      <c r="F19" s="181" t="s">
        <v>83</v>
      </c>
      <c r="G19" s="181"/>
      <c r="H19" s="181"/>
      <c r="I19" s="181" t="s">
        <v>83</v>
      </c>
      <c r="J19" s="181" t="s">
        <v>84</v>
      </c>
      <c r="K19" s="181"/>
      <c r="L19" s="3"/>
      <c r="M19" s="3"/>
    </row>
    <row r="20" spans="1:28" ht="14.25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 t="s">
        <v>85</v>
      </c>
      <c r="K20" s="154" t="s">
        <v>86</v>
      </c>
      <c r="L20" s="3"/>
      <c r="M20" s="3"/>
    </row>
    <row r="21" spans="1:28" ht="14.25" x14ac:dyDescent="0.2">
      <c r="A21" s="154">
        <v>1</v>
      </c>
      <c r="B21" s="154">
        <v>2</v>
      </c>
      <c r="C21" s="154">
        <v>3</v>
      </c>
      <c r="D21" s="154">
        <v>4</v>
      </c>
      <c r="E21" s="154">
        <v>5</v>
      </c>
      <c r="F21" s="154">
        <v>6</v>
      </c>
      <c r="G21" s="154">
        <v>7</v>
      </c>
      <c r="H21" s="154">
        <v>8</v>
      </c>
      <c r="I21" s="154">
        <v>9</v>
      </c>
      <c r="J21" s="154">
        <v>10</v>
      </c>
      <c r="K21" s="154">
        <v>11</v>
      </c>
      <c r="L21" s="3"/>
      <c r="M21" s="3"/>
    </row>
    <row r="23" spans="1:28" ht="16.5" x14ac:dyDescent="0.25">
      <c r="A23" s="186" t="s">
        <v>329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</row>
    <row r="24" spans="1:28" ht="133.5" x14ac:dyDescent="0.2">
      <c r="A24" s="156" t="s">
        <v>87</v>
      </c>
      <c r="B24" s="156" t="s">
        <v>1657</v>
      </c>
      <c r="C24" s="155" t="s">
        <v>1627</v>
      </c>
      <c r="D24" s="3">
        <v>0.02</v>
      </c>
      <c r="E24" s="141">
        <v>457.27</v>
      </c>
      <c r="F24" s="141">
        <v>51.92</v>
      </c>
      <c r="G24" s="140">
        <v>9</v>
      </c>
      <c r="H24" s="140">
        <v>7</v>
      </c>
      <c r="I24" s="142">
        <v>1</v>
      </c>
      <c r="J24" s="141">
        <v>38.755000000000003</v>
      </c>
      <c r="K24" s="141">
        <v>0.77510000000000012</v>
      </c>
      <c r="T24">
        <v>22</v>
      </c>
      <c r="U24">
        <v>1</v>
      </c>
      <c r="V24">
        <v>7</v>
      </c>
      <c r="W24">
        <v>1</v>
      </c>
      <c r="X24">
        <v>0</v>
      </c>
      <c r="Y24">
        <v>0.77510000000000012</v>
      </c>
      <c r="Z24">
        <v>1.3500000000000002E-2</v>
      </c>
      <c r="AA24">
        <v>8</v>
      </c>
      <c r="AB24">
        <v>5</v>
      </c>
    </row>
    <row r="25" spans="1:28" ht="14.25" x14ac:dyDescent="0.2">
      <c r="C25" s="35" t="s">
        <v>169</v>
      </c>
      <c r="D25" s="3"/>
      <c r="E25" s="139">
        <v>372.82</v>
      </c>
      <c r="F25" s="139">
        <v>8.16</v>
      </c>
      <c r="G25" s="140"/>
      <c r="H25" s="140"/>
      <c r="I25" s="140">
        <v>0</v>
      </c>
      <c r="J25" s="139">
        <v>0.67500000000000004</v>
      </c>
      <c r="K25" s="139">
        <v>1.3500000000000002E-2</v>
      </c>
    </row>
    <row r="26" spans="1:28" x14ac:dyDescent="0.2">
      <c r="C26" s="36" t="s">
        <v>216</v>
      </c>
    </row>
    <row r="27" spans="1:28" x14ac:dyDescent="0.2">
      <c r="C27" s="20" t="s">
        <v>89</v>
      </c>
      <c r="D27" s="37">
        <v>128</v>
      </c>
      <c r="E27" s="144">
        <v>438.88896</v>
      </c>
      <c r="F27" s="37" t="s">
        <v>330</v>
      </c>
      <c r="G27" s="143">
        <v>8</v>
      </c>
      <c r="H27" s="37" t="s">
        <v>331</v>
      </c>
      <c r="I27" s="37"/>
      <c r="J27" s="37"/>
      <c r="K27" s="37"/>
    </row>
    <row r="28" spans="1:28" x14ac:dyDescent="0.2">
      <c r="C28" s="20" t="s">
        <v>92</v>
      </c>
      <c r="D28" s="37">
        <v>83</v>
      </c>
      <c r="E28" s="144">
        <v>268.78138999999999</v>
      </c>
      <c r="F28" s="37" t="s">
        <v>332</v>
      </c>
      <c r="G28" s="143">
        <v>5</v>
      </c>
      <c r="H28" s="37" t="s">
        <v>333</v>
      </c>
      <c r="I28" s="37"/>
      <c r="J28" s="37"/>
      <c r="K28" s="37"/>
    </row>
    <row r="29" spans="1:28" x14ac:dyDescent="0.2">
      <c r="C29" s="20" t="s">
        <v>95</v>
      </c>
      <c r="D29" s="37"/>
      <c r="E29" s="144">
        <v>1164.9403499999999</v>
      </c>
      <c r="F29" s="37"/>
      <c r="G29" s="143">
        <v>22</v>
      </c>
      <c r="H29" s="37"/>
      <c r="I29" s="37"/>
      <c r="J29" s="37"/>
      <c r="K29" s="37"/>
    </row>
    <row r="30" spans="1:28" ht="14.25" x14ac:dyDescent="0.2">
      <c r="A30" s="156" t="s">
        <v>334</v>
      </c>
      <c r="B30" s="156" t="s">
        <v>1146</v>
      </c>
      <c r="C30" s="155" t="s">
        <v>335</v>
      </c>
      <c r="D30" s="3">
        <v>2</v>
      </c>
      <c r="E30" s="141">
        <v>0</v>
      </c>
      <c r="F30" s="141">
        <v>0</v>
      </c>
      <c r="G30" s="140">
        <v>0</v>
      </c>
      <c r="H30" s="140">
        <v>0</v>
      </c>
      <c r="I30" s="142">
        <v>0</v>
      </c>
      <c r="J30" s="141">
        <v>0</v>
      </c>
      <c r="K30" s="141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</row>
    <row r="31" spans="1:28" ht="14.25" x14ac:dyDescent="0.2">
      <c r="C31" s="35" t="s">
        <v>171</v>
      </c>
      <c r="D31" s="3"/>
      <c r="E31" s="139">
        <v>0</v>
      </c>
      <c r="F31" s="139">
        <v>0</v>
      </c>
      <c r="G31" s="140"/>
      <c r="H31" s="140"/>
      <c r="I31" s="140">
        <v>0</v>
      </c>
      <c r="J31" s="139">
        <v>0</v>
      </c>
      <c r="K31" s="139">
        <v>0</v>
      </c>
    </row>
    <row r="32" spans="1:28" ht="99.75" x14ac:dyDescent="0.2">
      <c r="A32" s="156" t="s">
        <v>96</v>
      </c>
      <c r="B32" s="156" t="s">
        <v>1658</v>
      </c>
      <c r="C32" s="155" t="s">
        <v>336</v>
      </c>
      <c r="D32" s="3">
        <v>2</v>
      </c>
      <c r="E32" s="141">
        <v>35.71</v>
      </c>
      <c r="F32" s="141">
        <v>0</v>
      </c>
      <c r="G32" s="140">
        <v>71</v>
      </c>
      <c r="H32" s="140">
        <v>0</v>
      </c>
      <c r="I32" s="142">
        <v>0</v>
      </c>
      <c r="J32" s="141">
        <v>0</v>
      </c>
      <c r="K32" s="141">
        <v>0</v>
      </c>
      <c r="T32">
        <v>71</v>
      </c>
      <c r="U32">
        <v>71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ht="14.25" x14ac:dyDescent="0.2">
      <c r="C33" s="35" t="s">
        <v>171</v>
      </c>
      <c r="D33" s="3"/>
      <c r="E33" s="139">
        <v>0</v>
      </c>
      <c r="F33" s="139">
        <v>0</v>
      </c>
      <c r="G33" s="140"/>
      <c r="H33" s="140"/>
      <c r="I33" s="140">
        <v>0</v>
      </c>
      <c r="J33" s="139">
        <v>0</v>
      </c>
      <c r="K33" s="139">
        <v>0</v>
      </c>
    </row>
    <row r="34" spans="1:28" ht="133.5" x14ac:dyDescent="0.2">
      <c r="A34" s="156" t="s">
        <v>100</v>
      </c>
      <c r="B34" s="156" t="s">
        <v>1659</v>
      </c>
      <c r="C34" s="155" t="s">
        <v>1626</v>
      </c>
      <c r="D34" s="3">
        <v>0.02</v>
      </c>
      <c r="E34" s="141">
        <v>127</v>
      </c>
      <c r="F34" s="141">
        <v>55.64</v>
      </c>
      <c r="G34" s="140">
        <v>2</v>
      </c>
      <c r="H34" s="140">
        <v>1</v>
      </c>
      <c r="I34" s="142">
        <v>1</v>
      </c>
      <c r="J34" s="141">
        <v>5.761499999999999</v>
      </c>
      <c r="K34" s="141">
        <v>0.11522999999999999</v>
      </c>
      <c r="T34">
        <v>4</v>
      </c>
      <c r="U34">
        <v>0</v>
      </c>
      <c r="V34">
        <v>1</v>
      </c>
      <c r="W34">
        <v>1</v>
      </c>
      <c r="X34">
        <v>0</v>
      </c>
      <c r="Y34">
        <v>0.11522999999999999</v>
      </c>
      <c r="Z34">
        <v>0</v>
      </c>
      <c r="AA34">
        <v>1</v>
      </c>
      <c r="AB34">
        <v>1</v>
      </c>
    </row>
    <row r="35" spans="1:28" ht="14.25" x14ac:dyDescent="0.2">
      <c r="C35" s="35" t="s">
        <v>169</v>
      </c>
      <c r="D35" s="3"/>
      <c r="E35" s="139">
        <v>67.069999999999993</v>
      </c>
      <c r="F35" s="139">
        <v>0</v>
      </c>
      <c r="G35" s="140"/>
      <c r="H35" s="140"/>
      <c r="I35" s="140">
        <v>0</v>
      </c>
      <c r="J35" s="139">
        <v>0</v>
      </c>
      <c r="K35" s="139">
        <v>0</v>
      </c>
    </row>
    <row r="36" spans="1:28" x14ac:dyDescent="0.2">
      <c r="C36" s="36" t="s">
        <v>216</v>
      </c>
    </row>
    <row r="37" spans="1:28" x14ac:dyDescent="0.2">
      <c r="C37" s="20" t="s">
        <v>89</v>
      </c>
      <c r="D37" s="37">
        <v>128</v>
      </c>
      <c r="E37" s="144">
        <v>77.264639999999986</v>
      </c>
      <c r="F37" s="37" t="s">
        <v>330</v>
      </c>
      <c r="G37" s="143">
        <v>1</v>
      </c>
      <c r="H37" s="37" t="s">
        <v>331</v>
      </c>
      <c r="I37" s="37"/>
      <c r="J37" s="37"/>
      <c r="K37" s="37"/>
    </row>
    <row r="38" spans="1:28" x14ac:dyDescent="0.2">
      <c r="C38" s="20" t="s">
        <v>92</v>
      </c>
      <c r="D38" s="37">
        <v>83</v>
      </c>
      <c r="E38" s="144">
        <v>47.317884999999997</v>
      </c>
      <c r="F38" s="37" t="s">
        <v>332</v>
      </c>
      <c r="G38" s="143">
        <v>1</v>
      </c>
      <c r="H38" s="37" t="s">
        <v>333</v>
      </c>
      <c r="I38" s="37"/>
      <c r="J38" s="37"/>
      <c r="K38" s="37"/>
    </row>
    <row r="39" spans="1:28" x14ac:dyDescent="0.2">
      <c r="C39" s="20" t="s">
        <v>95</v>
      </c>
      <c r="D39" s="37"/>
      <c r="E39" s="144">
        <v>251.58252499999998</v>
      </c>
      <c r="F39" s="37"/>
      <c r="G39" s="143">
        <v>4</v>
      </c>
      <c r="H39" s="37"/>
      <c r="I39" s="37"/>
      <c r="J39" s="37"/>
      <c r="K39" s="37"/>
    </row>
    <row r="40" spans="1:28" ht="147.75" x14ac:dyDescent="0.2">
      <c r="A40" s="156" t="s">
        <v>105</v>
      </c>
      <c r="B40" s="156" t="s">
        <v>1660</v>
      </c>
      <c r="C40" s="155" t="s">
        <v>1625</v>
      </c>
      <c r="D40" s="3">
        <v>0.16</v>
      </c>
      <c r="E40" s="141">
        <v>270.62</v>
      </c>
      <c r="F40" s="141">
        <v>50.64</v>
      </c>
      <c r="G40" s="140">
        <v>43</v>
      </c>
      <c r="H40" s="140">
        <v>23</v>
      </c>
      <c r="I40" s="142">
        <v>8</v>
      </c>
      <c r="J40" s="141">
        <v>15.156999999999998</v>
      </c>
      <c r="K40" s="141">
        <v>2.4251199999999997</v>
      </c>
      <c r="T40">
        <v>85</v>
      </c>
      <c r="U40">
        <v>12</v>
      </c>
      <c r="V40">
        <v>23</v>
      </c>
      <c r="W40">
        <v>8</v>
      </c>
      <c r="X40">
        <v>0</v>
      </c>
      <c r="Y40">
        <v>2.4251199999999997</v>
      </c>
      <c r="Z40">
        <v>8.0000000000000002E-3</v>
      </c>
      <c r="AA40">
        <v>26</v>
      </c>
      <c r="AB40">
        <v>16</v>
      </c>
    </row>
    <row r="41" spans="1:28" ht="14.25" x14ac:dyDescent="0.2">
      <c r="C41" s="35" t="s">
        <v>169</v>
      </c>
      <c r="D41" s="3"/>
      <c r="E41" s="139">
        <v>142.47</v>
      </c>
      <c r="F41" s="139">
        <v>0.61</v>
      </c>
      <c r="G41" s="140"/>
      <c r="H41" s="140"/>
      <c r="I41" s="140">
        <v>0</v>
      </c>
      <c r="J41" s="139">
        <v>0.05</v>
      </c>
      <c r="K41" s="139">
        <v>8.0000000000000002E-3</v>
      </c>
    </row>
    <row r="42" spans="1:28" x14ac:dyDescent="0.2">
      <c r="C42" s="36" t="s">
        <v>337</v>
      </c>
    </row>
    <row r="43" spans="1:28" x14ac:dyDescent="0.2">
      <c r="C43" s="20" t="s">
        <v>89</v>
      </c>
      <c r="D43" s="37">
        <v>128</v>
      </c>
      <c r="E43" s="144">
        <v>164.82816000000003</v>
      </c>
      <c r="F43" s="37" t="s">
        <v>330</v>
      </c>
      <c r="G43" s="143">
        <v>26</v>
      </c>
      <c r="H43" s="37" t="s">
        <v>331</v>
      </c>
      <c r="I43" s="37"/>
      <c r="J43" s="37"/>
      <c r="K43" s="37"/>
    </row>
    <row r="44" spans="1:28" x14ac:dyDescent="0.2">
      <c r="C44" s="20" t="s">
        <v>92</v>
      </c>
      <c r="D44" s="37">
        <v>83</v>
      </c>
      <c r="E44" s="144">
        <v>100.94293999999999</v>
      </c>
      <c r="F44" s="37" t="s">
        <v>332</v>
      </c>
      <c r="G44" s="143">
        <v>16</v>
      </c>
      <c r="H44" s="37" t="s">
        <v>333</v>
      </c>
      <c r="I44" s="37"/>
      <c r="J44" s="37"/>
      <c r="K44" s="37"/>
    </row>
    <row r="45" spans="1:28" x14ac:dyDescent="0.2">
      <c r="C45" s="20" t="s">
        <v>95</v>
      </c>
      <c r="D45" s="37"/>
      <c r="E45" s="144">
        <v>536.39110000000005</v>
      </c>
      <c r="F45" s="37"/>
      <c r="G45" s="143">
        <v>85</v>
      </c>
      <c r="H45" s="37"/>
      <c r="I45" s="37"/>
      <c r="J45" s="37"/>
      <c r="K45" s="37"/>
    </row>
    <row r="46" spans="1:28" ht="14.25" x14ac:dyDescent="0.2">
      <c r="A46" s="156" t="s">
        <v>1661</v>
      </c>
      <c r="B46" s="156" t="s">
        <v>1146</v>
      </c>
      <c r="C46" s="155" t="s">
        <v>1662</v>
      </c>
      <c r="D46" s="3">
        <v>2.2880000000000003</v>
      </c>
      <c r="E46" s="141">
        <v>0</v>
      </c>
      <c r="F46" s="141">
        <v>0</v>
      </c>
      <c r="G46" s="140">
        <v>0</v>
      </c>
      <c r="H46" s="140">
        <v>0</v>
      </c>
      <c r="I46" s="142">
        <v>0</v>
      </c>
      <c r="J46" s="141">
        <v>0</v>
      </c>
      <c r="K46" s="141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</row>
    <row r="47" spans="1:28" ht="14.25" x14ac:dyDescent="0.2">
      <c r="C47" s="35" t="s">
        <v>173</v>
      </c>
      <c r="D47" s="3"/>
      <c r="E47" s="139">
        <v>0</v>
      </c>
      <c r="F47" s="139">
        <v>0</v>
      </c>
      <c r="G47" s="140"/>
      <c r="H47" s="140"/>
      <c r="I47" s="140">
        <v>0</v>
      </c>
      <c r="J47" s="139">
        <v>0</v>
      </c>
      <c r="K47" s="139">
        <v>0</v>
      </c>
    </row>
    <row r="48" spans="1:28" ht="14.25" x14ac:dyDescent="0.2">
      <c r="A48" s="156" t="s">
        <v>1663</v>
      </c>
      <c r="B48" s="156" t="s">
        <v>1146</v>
      </c>
      <c r="C48" s="155" t="s">
        <v>1664</v>
      </c>
      <c r="D48" s="3">
        <v>16.399999999999999</v>
      </c>
      <c r="E48" s="141">
        <v>0</v>
      </c>
      <c r="F48" s="141">
        <v>0</v>
      </c>
      <c r="G48" s="140">
        <v>0</v>
      </c>
      <c r="H48" s="140">
        <v>0</v>
      </c>
      <c r="I48" s="142">
        <v>0</v>
      </c>
      <c r="J48" s="141">
        <v>0</v>
      </c>
      <c r="K48" s="141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</row>
    <row r="49" spans="1:28" ht="14.25" x14ac:dyDescent="0.2">
      <c r="C49" s="35" t="s">
        <v>171</v>
      </c>
      <c r="D49" s="3"/>
      <c r="E49" s="139">
        <v>0</v>
      </c>
      <c r="F49" s="139">
        <v>0</v>
      </c>
      <c r="G49" s="140"/>
      <c r="H49" s="140"/>
      <c r="I49" s="140">
        <v>0</v>
      </c>
      <c r="J49" s="139">
        <v>0</v>
      </c>
      <c r="K49" s="139">
        <v>0</v>
      </c>
    </row>
    <row r="50" spans="1:28" ht="99.75" x14ac:dyDescent="0.2">
      <c r="A50" s="156" t="s">
        <v>106</v>
      </c>
      <c r="B50" s="156" t="s">
        <v>1665</v>
      </c>
      <c r="C50" s="155" t="s">
        <v>1662</v>
      </c>
      <c r="D50" s="3">
        <v>23</v>
      </c>
      <c r="E50" s="141">
        <v>8.09</v>
      </c>
      <c r="F50" s="141">
        <v>0</v>
      </c>
      <c r="G50" s="140">
        <v>186</v>
      </c>
      <c r="H50" s="140">
        <v>0</v>
      </c>
      <c r="I50" s="142">
        <v>0</v>
      </c>
      <c r="J50" s="141">
        <v>0</v>
      </c>
      <c r="K50" s="141">
        <v>0</v>
      </c>
      <c r="T50">
        <v>186</v>
      </c>
      <c r="U50">
        <v>186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ht="14.25" x14ac:dyDescent="0.2">
      <c r="C51" s="35" t="s">
        <v>158</v>
      </c>
      <c r="D51" s="3"/>
      <c r="E51" s="139">
        <v>0</v>
      </c>
      <c r="F51" s="139">
        <v>0</v>
      </c>
      <c r="G51" s="140"/>
      <c r="H51" s="140"/>
      <c r="I51" s="140">
        <v>0</v>
      </c>
      <c r="J51" s="139">
        <v>0</v>
      </c>
      <c r="K51" s="139">
        <v>0</v>
      </c>
    </row>
    <row r="52" spans="1:28" ht="99.75" x14ac:dyDescent="0.2">
      <c r="A52" s="156" t="s">
        <v>112</v>
      </c>
      <c r="B52" s="156" t="s">
        <v>1666</v>
      </c>
      <c r="C52" s="155" t="s">
        <v>338</v>
      </c>
      <c r="D52" s="3">
        <v>16.399999999999999</v>
      </c>
      <c r="E52" s="141">
        <v>5.54</v>
      </c>
      <c r="F52" s="141">
        <v>0</v>
      </c>
      <c r="G52" s="140">
        <v>91</v>
      </c>
      <c r="H52" s="140">
        <v>0</v>
      </c>
      <c r="I52" s="142">
        <v>0</v>
      </c>
      <c r="J52" s="141">
        <v>0</v>
      </c>
      <c r="K52" s="141">
        <v>0</v>
      </c>
      <c r="T52">
        <v>91</v>
      </c>
      <c r="U52">
        <v>91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</row>
    <row r="53" spans="1:28" ht="14.25" x14ac:dyDescent="0.2">
      <c r="C53" s="35" t="s">
        <v>171</v>
      </c>
      <c r="D53" s="3"/>
      <c r="E53" s="139">
        <v>0</v>
      </c>
      <c r="F53" s="139">
        <v>0</v>
      </c>
      <c r="G53" s="140"/>
      <c r="H53" s="140"/>
      <c r="I53" s="140">
        <v>0</v>
      </c>
      <c r="J53" s="139">
        <v>0</v>
      </c>
      <c r="K53" s="139">
        <v>0</v>
      </c>
    </row>
    <row r="54" spans="1:28" ht="99.75" x14ac:dyDescent="0.2">
      <c r="A54" s="156" t="s">
        <v>114</v>
      </c>
      <c r="B54" s="156" t="s">
        <v>1667</v>
      </c>
      <c r="C54" s="155" t="s">
        <v>1668</v>
      </c>
      <c r="D54" s="3">
        <v>1</v>
      </c>
      <c r="E54" s="141">
        <v>186.99</v>
      </c>
      <c r="F54" s="141">
        <v>0</v>
      </c>
      <c r="G54" s="140">
        <v>187</v>
      </c>
      <c r="H54" s="140">
        <v>0</v>
      </c>
      <c r="I54" s="142">
        <v>0</v>
      </c>
      <c r="J54" s="141">
        <v>0</v>
      </c>
      <c r="K54" s="141">
        <v>0</v>
      </c>
      <c r="T54">
        <v>187</v>
      </c>
      <c r="U54">
        <v>187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</row>
    <row r="55" spans="1:28" ht="14.25" x14ac:dyDescent="0.2">
      <c r="C55" s="35" t="s">
        <v>158</v>
      </c>
      <c r="D55" s="3"/>
      <c r="E55" s="139">
        <v>0</v>
      </c>
      <c r="F55" s="139">
        <v>0</v>
      </c>
      <c r="G55" s="140"/>
      <c r="H55" s="140"/>
      <c r="I55" s="140">
        <v>0</v>
      </c>
      <c r="J55" s="139">
        <v>0</v>
      </c>
      <c r="K55" s="139">
        <v>0</v>
      </c>
    </row>
    <row r="56" spans="1:28" ht="147.75" x14ac:dyDescent="0.2">
      <c r="A56" s="156" t="s">
        <v>115</v>
      </c>
      <c r="B56" s="156" t="s">
        <v>1669</v>
      </c>
      <c r="C56" s="155" t="s">
        <v>1624</v>
      </c>
      <c r="D56" s="3">
        <v>0.42</v>
      </c>
      <c r="E56" s="141">
        <v>286.77</v>
      </c>
      <c r="F56" s="141">
        <v>48.74</v>
      </c>
      <c r="G56" s="140">
        <v>120</v>
      </c>
      <c r="H56" s="140">
        <v>62</v>
      </c>
      <c r="I56" s="142">
        <v>20</v>
      </c>
      <c r="J56" s="141">
        <v>15.766500000000001</v>
      </c>
      <c r="K56" s="141">
        <v>6.6219299999999999</v>
      </c>
      <c r="T56">
        <v>235</v>
      </c>
      <c r="U56">
        <v>38</v>
      </c>
      <c r="V56">
        <v>62</v>
      </c>
      <c r="W56">
        <v>20</v>
      </c>
      <c r="X56">
        <v>0</v>
      </c>
      <c r="Y56">
        <v>6.6219299999999999</v>
      </c>
      <c r="Z56">
        <v>1.0500000000000001E-2</v>
      </c>
      <c r="AA56">
        <v>71</v>
      </c>
      <c r="AB56">
        <v>44</v>
      </c>
    </row>
    <row r="57" spans="1:28" ht="14.25" x14ac:dyDescent="0.2">
      <c r="C57" s="35" t="s">
        <v>169</v>
      </c>
      <c r="D57" s="3"/>
      <c r="E57" s="139">
        <v>148.19999999999999</v>
      </c>
      <c r="F57" s="139">
        <v>0.28999999999999998</v>
      </c>
      <c r="G57" s="140"/>
      <c r="H57" s="140"/>
      <c r="I57" s="140">
        <v>0</v>
      </c>
      <c r="J57" s="139">
        <v>2.5000000000000001E-2</v>
      </c>
      <c r="K57" s="139">
        <v>1.0500000000000001E-2</v>
      </c>
    </row>
    <row r="58" spans="1:28" x14ac:dyDescent="0.2">
      <c r="C58" s="36" t="s">
        <v>339</v>
      </c>
    </row>
    <row r="59" spans="1:28" x14ac:dyDescent="0.2">
      <c r="C59" s="20" t="s">
        <v>89</v>
      </c>
      <c r="D59" s="37">
        <v>128</v>
      </c>
      <c r="E59" s="144">
        <v>171.06047999999998</v>
      </c>
      <c r="F59" s="37" t="s">
        <v>330</v>
      </c>
      <c r="G59" s="143">
        <v>71</v>
      </c>
      <c r="H59" s="37" t="s">
        <v>331</v>
      </c>
      <c r="I59" s="37"/>
      <c r="J59" s="37"/>
      <c r="K59" s="37"/>
    </row>
    <row r="60" spans="1:28" x14ac:dyDescent="0.2">
      <c r="C60" s="20" t="s">
        <v>92</v>
      </c>
      <c r="D60" s="37">
        <v>83</v>
      </c>
      <c r="E60" s="144">
        <v>104.75969499999998</v>
      </c>
      <c r="F60" s="37" t="s">
        <v>332</v>
      </c>
      <c r="G60" s="143">
        <v>44</v>
      </c>
      <c r="H60" s="37" t="s">
        <v>333</v>
      </c>
      <c r="I60" s="37"/>
      <c r="J60" s="37"/>
      <c r="K60" s="37"/>
    </row>
    <row r="61" spans="1:28" x14ac:dyDescent="0.2">
      <c r="C61" s="20" t="s">
        <v>95</v>
      </c>
      <c r="D61" s="37"/>
      <c r="E61" s="144">
        <v>562.59017499999993</v>
      </c>
      <c r="F61" s="37"/>
      <c r="G61" s="143">
        <v>235</v>
      </c>
      <c r="H61" s="37"/>
      <c r="I61" s="37"/>
      <c r="J61" s="37"/>
      <c r="K61" s="37"/>
    </row>
    <row r="62" spans="1:28" ht="14.25" x14ac:dyDescent="0.2">
      <c r="A62" s="156" t="s">
        <v>1670</v>
      </c>
      <c r="B62" s="156" t="s">
        <v>1146</v>
      </c>
      <c r="C62" s="155" t="s">
        <v>1662</v>
      </c>
      <c r="D62" s="3">
        <v>7.0139999999999993</v>
      </c>
      <c r="E62" s="141">
        <v>0</v>
      </c>
      <c r="F62" s="141">
        <v>0</v>
      </c>
      <c r="G62" s="140">
        <v>0</v>
      </c>
      <c r="H62" s="140">
        <v>0</v>
      </c>
      <c r="I62" s="142">
        <v>0</v>
      </c>
      <c r="J62" s="141">
        <v>0</v>
      </c>
      <c r="K62" s="141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</row>
    <row r="63" spans="1:28" ht="14.25" x14ac:dyDescent="0.2">
      <c r="C63" s="35" t="s">
        <v>173</v>
      </c>
      <c r="D63" s="3"/>
      <c r="E63" s="139">
        <v>0</v>
      </c>
      <c r="F63" s="139">
        <v>0</v>
      </c>
      <c r="G63" s="140"/>
      <c r="H63" s="140"/>
      <c r="I63" s="140">
        <v>0</v>
      </c>
      <c r="J63" s="139">
        <v>0</v>
      </c>
      <c r="K63" s="139">
        <v>0</v>
      </c>
    </row>
    <row r="64" spans="1:28" ht="14.25" x14ac:dyDescent="0.2">
      <c r="A64" s="156" t="s">
        <v>1671</v>
      </c>
      <c r="B64" s="156" t="s">
        <v>1146</v>
      </c>
      <c r="C64" s="155" t="s">
        <v>1664</v>
      </c>
      <c r="D64" s="3">
        <v>43.05</v>
      </c>
      <c r="E64" s="141">
        <v>0</v>
      </c>
      <c r="F64" s="141">
        <v>0</v>
      </c>
      <c r="G64" s="140">
        <v>0</v>
      </c>
      <c r="H64" s="140">
        <v>0</v>
      </c>
      <c r="I64" s="142">
        <v>0</v>
      </c>
      <c r="J64" s="141">
        <v>0</v>
      </c>
      <c r="K64" s="141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</row>
    <row r="65" spans="1:28" ht="14.25" x14ac:dyDescent="0.2">
      <c r="C65" s="35" t="s">
        <v>171</v>
      </c>
      <c r="D65" s="3"/>
      <c r="E65" s="139">
        <v>0</v>
      </c>
      <c r="F65" s="139">
        <v>0</v>
      </c>
      <c r="G65" s="140"/>
      <c r="H65" s="140"/>
      <c r="I65" s="140">
        <v>0</v>
      </c>
      <c r="J65" s="139">
        <v>0</v>
      </c>
      <c r="K65" s="139">
        <v>0</v>
      </c>
    </row>
    <row r="66" spans="1:28" ht="99.75" x14ac:dyDescent="0.2">
      <c r="A66" s="156" t="s">
        <v>116</v>
      </c>
      <c r="B66" s="156" t="s">
        <v>1665</v>
      </c>
      <c r="C66" s="155" t="s">
        <v>1662</v>
      </c>
      <c r="D66" s="3">
        <v>70</v>
      </c>
      <c r="E66" s="141">
        <v>8.09</v>
      </c>
      <c r="F66" s="141">
        <v>0</v>
      </c>
      <c r="G66" s="140">
        <v>566</v>
      </c>
      <c r="H66" s="140">
        <v>0</v>
      </c>
      <c r="I66" s="142">
        <v>0</v>
      </c>
      <c r="J66" s="141">
        <v>0</v>
      </c>
      <c r="K66" s="141">
        <v>0</v>
      </c>
      <c r="T66">
        <v>566</v>
      </c>
      <c r="U66">
        <v>566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</row>
    <row r="67" spans="1:28" ht="14.25" x14ac:dyDescent="0.2">
      <c r="C67" s="35" t="s">
        <v>158</v>
      </c>
      <c r="D67" s="3"/>
      <c r="E67" s="139">
        <v>0</v>
      </c>
      <c r="F67" s="139">
        <v>0</v>
      </c>
      <c r="G67" s="140"/>
      <c r="H67" s="140"/>
      <c r="I67" s="140">
        <v>0</v>
      </c>
      <c r="J67" s="139">
        <v>0</v>
      </c>
      <c r="K67" s="139">
        <v>0</v>
      </c>
    </row>
    <row r="68" spans="1:28" ht="99.75" x14ac:dyDescent="0.2">
      <c r="A68" s="156" t="s">
        <v>118</v>
      </c>
      <c r="B68" s="156" t="s">
        <v>1672</v>
      </c>
      <c r="C68" s="155" t="s">
        <v>340</v>
      </c>
      <c r="D68" s="3">
        <v>43.05</v>
      </c>
      <c r="E68" s="141">
        <v>4.97</v>
      </c>
      <c r="F68" s="141">
        <v>0</v>
      </c>
      <c r="G68" s="140">
        <v>214</v>
      </c>
      <c r="H68" s="140">
        <v>0</v>
      </c>
      <c r="I68" s="142">
        <v>0</v>
      </c>
      <c r="J68" s="141">
        <v>0</v>
      </c>
      <c r="K68" s="141">
        <v>0</v>
      </c>
      <c r="T68">
        <v>214</v>
      </c>
      <c r="U68">
        <v>214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</row>
    <row r="69" spans="1:28" ht="14.25" x14ac:dyDescent="0.2">
      <c r="C69" s="35" t="s">
        <v>171</v>
      </c>
      <c r="D69" s="3"/>
      <c r="E69" s="139">
        <v>0</v>
      </c>
      <c r="F69" s="139">
        <v>0</v>
      </c>
      <c r="G69" s="140"/>
      <c r="H69" s="140"/>
      <c r="I69" s="140">
        <v>0</v>
      </c>
      <c r="J69" s="139">
        <v>0</v>
      </c>
      <c r="K69" s="139">
        <v>0</v>
      </c>
    </row>
    <row r="70" spans="1:28" ht="99.75" x14ac:dyDescent="0.2">
      <c r="A70" s="156" t="s">
        <v>119</v>
      </c>
      <c r="B70" s="156" t="s">
        <v>1673</v>
      </c>
      <c r="C70" s="155" t="s">
        <v>341</v>
      </c>
      <c r="D70" s="3">
        <v>6</v>
      </c>
      <c r="E70" s="141">
        <v>15.71</v>
      </c>
      <c r="F70" s="141">
        <v>0</v>
      </c>
      <c r="G70" s="140">
        <v>94</v>
      </c>
      <c r="H70" s="140">
        <v>0</v>
      </c>
      <c r="I70" s="142">
        <v>0</v>
      </c>
      <c r="J70" s="141">
        <v>0</v>
      </c>
      <c r="K70" s="141">
        <v>0</v>
      </c>
      <c r="T70">
        <v>94</v>
      </c>
      <c r="U70">
        <v>94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</row>
    <row r="71" spans="1:28" ht="14.25" x14ac:dyDescent="0.2">
      <c r="C71" s="35" t="s">
        <v>158</v>
      </c>
      <c r="D71" s="3"/>
      <c r="E71" s="139">
        <v>0</v>
      </c>
      <c r="F71" s="139">
        <v>0</v>
      </c>
      <c r="G71" s="140"/>
      <c r="H71" s="140"/>
      <c r="I71" s="140">
        <v>0</v>
      </c>
      <c r="J71" s="139">
        <v>0</v>
      </c>
      <c r="K71" s="139">
        <v>0</v>
      </c>
    </row>
    <row r="72" spans="1:28" ht="99.75" x14ac:dyDescent="0.2">
      <c r="A72" s="156" t="s">
        <v>120</v>
      </c>
      <c r="B72" s="156" t="s">
        <v>1674</v>
      </c>
      <c r="C72" s="155" t="s">
        <v>342</v>
      </c>
      <c r="D72" s="3">
        <v>8</v>
      </c>
      <c r="E72" s="141">
        <v>0.62</v>
      </c>
      <c r="F72" s="141">
        <v>0</v>
      </c>
      <c r="G72" s="140">
        <v>5</v>
      </c>
      <c r="H72" s="140">
        <v>0</v>
      </c>
      <c r="I72" s="142">
        <v>0</v>
      </c>
      <c r="J72" s="141">
        <v>0</v>
      </c>
      <c r="K72" s="141">
        <v>0</v>
      </c>
      <c r="T72">
        <v>5</v>
      </c>
      <c r="U72">
        <v>5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8" ht="14.25" x14ac:dyDescent="0.2">
      <c r="C73" s="35" t="s">
        <v>158</v>
      </c>
      <c r="D73" s="3"/>
      <c r="E73" s="139">
        <v>0</v>
      </c>
      <c r="F73" s="139">
        <v>0</v>
      </c>
      <c r="G73" s="140"/>
      <c r="H73" s="140"/>
      <c r="I73" s="140">
        <v>0</v>
      </c>
      <c r="J73" s="139">
        <v>0</v>
      </c>
      <c r="K73" s="139">
        <v>0</v>
      </c>
    </row>
    <row r="74" spans="1:28" ht="99.75" x14ac:dyDescent="0.2">
      <c r="A74" s="156" t="s">
        <v>123</v>
      </c>
      <c r="B74" s="156" t="s">
        <v>1675</v>
      </c>
      <c r="C74" s="155" t="s">
        <v>343</v>
      </c>
      <c r="D74" s="3">
        <v>2</v>
      </c>
      <c r="E74" s="141">
        <v>1.02</v>
      </c>
      <c r="F74" s="141">
        <v>0</v>
      </c>
      <c r="G74" s="140">
        <v>2</v>
      </c>
      <c r="H74" s="140">
        <v>0</v>
      </c>
      <c r="I74" s="142">
        <v>0</v>
      </c>
      <c r="J74" s="141">
        <v>0</v>
      </c>
      <c r="K74" s="141">
        <v>0</v>
      </c>
      <c r="T74">
        <v>2</v>
      </c>
      <c r="U74">
        <v>2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</row>
    <row r="75" spans="1:28" ht="14.25" x14ac:dyDescent="0.2">
      <c r="C75" s="35" t="s">
        <v>158</v>
      </c>
      <c r="D75" s="3"/>
      <c r="E75" s="139">
        <v>0</v>
      </c>
      <c r="F75" s="139">
        <v>0</v>
      </c>
      <c r="G75" s="140"/>
      <c r="H75" s="140"/>
      <c r="I75" s="140">
        <v>0</v>
      </c>
      <c r="J75" s="139">
        <v>0</v>
      </c>
      <c r="K75" s="139">
        <v>0</v>
      </c>
    </row>
    <row r="76" spans="1:28" ht="99.75" x14ac:dyDescent="0.2">
      <c r="A76" s="156" t="s">
        <v>124</v>
      </c>
      <c r="B76" s="156" t="s">
        <v>1676</v>
      </c>
      <c r="C76" s="155" t="s">
        <v>344</v>
      </c>
      <c r="D76" s="3">
        <v>14</v>
      </c>
      <c r="E76" s="141">
        <v>1.32</v>
      </c>
      <c r="F76" s="141">
        <v>0</v>
      </c>
      <c r="G76" s="140">
        <v>18</v>
      </c>
      <c r="H76" s="140">
        <v>0</v>
      </c>
      <c r="I76" s="142">
        <v>0</v>
      </c>
      <c r="J76" s="141">
        <v>0</v>
      </c>
      <c r="K76" s="141">
        <v>0</v>
      </c>
      <c r="T76">
        <v>18</v>
      </c>
      <c r="U76">
        <v>18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</row>
    <row r="77" spans="1:28" ht="14.25" x14ac:dyDescent="0.2">
      <c r="C77" s="35" t="s">
        <v>158</v>
      </c>
      <c r="D77" s="3"/>
      <c r="E77" s="139">
        <v>0</v>
      </c>
      <c r="F77" s="139">
        <v>0</v>
      </c>
      <c r="G77" s="140"/>
      <c r="H77" s="140"/>
      <c r="I77" s="140">
        <v>0</v>
      </c>
      <c r="J77" s="139">
        <v>0</v>
      </c>
      <c r="K77" s="139">
        <v>0</v>
      </c>
    </row>
    <row r="78" spans="1:28" ht="99.75" x14ac:dyDescent="0.2">
      <c r="A78" s="156" t="s">
        <v>126</v>
      </c>
      <c r="B78" s="156" t="s">
        <v>1677</v>
      </c>
      <c r="C78" s="155" t="s">
        <v>345</v>
      </c>
      <c r="D78" s="3">
        <v>3</v>
      </c>
      <c r="E78" s="141">
        <v>0.96</v>
      </c>
      <c r="F78" s="141">
        <v>0</v>
      </c>
      <c r="G78" s="140">
        <v>3</v>
      </c>
      <c r="H78" s="140">
        <v>0</v>
      </c>
      <c r="I78" s="142">
        <v>0</v>
      </c>
      <c r="J78" s="141">
        <v>0</v>
      </c>
      <c r="K78" s="141">
        <v>0</v>
      </c>
      <c r="T78">
        <v>3</v>
      </c>
      <c r="U78">
        <v>3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</row>
    <row r="79" spans="1:28" ht="14.25" x14ac:dyDescent="0.2">
      <c r="C79" s="35" t="s">
        <v>158</v>
      </c>
      <c r="D79" s="3"/>
      <c r="E79" s="139">
        <v>0</v>
      </c>
      <c r="F79" s="139">
        <v>0</v>
      </c>
      <c r="G79" s="140"/>
      <c r="H79" s="140"/>
      <c r="I79" s="140">
        <v>0</v>
      </c>
      <c r="J79" s="139">
        <v>0</v>
      </c>
      <c r="K79" s="139">
        <v>0</v>
      </c>
    </row>
    <row r="80" spans="1:28" ht="99.75" x14ac:dyDescent="0.2">
      <c r="A80" s="156" t="s">
        <v>135</v>
      </c>
      <c r="B80" s="156" t="s">
        <v>1678</v>
      </c>
      <c r="C80" s="155" t="s">
        <v>346</v>
      </c>
      <c r="D80" s="3">
        <v>8</v>
      </c>
      <c r="E80" s="141">
        <v>6.07</v>
      </c>
      <c r="F80" s="141">
        <v>0</v>
      </c>
      <c r="G80" s="140">
        <v>49</v>
      </c>
      <c r="H80" s="140">
        <v>0</v>
      </c>
      <c r="I80" s="142">
        <v>0</v>
      </c>
      <c r="J80" s="141">
        <v>0</v>
      </c>
      <c r="K80" s="141">
        <v>0</v>
      </c>
      <c r="T80">
        <v>49</v>
      </c>
      <c r="U80">
        <v>49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</row>
    <row r="81" spans="1:28" ht="14.25" x14ac:dyDescent="0.2">
      <c r="C81" s="35" t="s">
        <v>158</v>
      </c>
      <c r="D81" s="3"/>
      <c r="E81" s="139">
        <v>0</v>
      </c>
      <c r="F81" s="139">
        <v>0</v>
      </c>
      <c r="G81" s="140"/>
      <c r="H81" s="140"/>
      <c r="I81" s="140">
        <v>0</v>
      </c>
      <c r="J81" s="139">
        <v>0</v>
      </c>
      <c r="K81" s="139">
        <v>0</v>
      </c>
    </row>
    <row r="82" spans="1:28" ht="99.75" x14ac:dyDescent="0.2">
      <c r="A82" s="156" t="s">
        <v>138</v>
      </c>
      <c r="B82" s="156" t="s">
        <v>1679</v>
      </c>
      <c r="C82" s="155" t="s">
        <v>347</v>
      </c>
      <c r="D82" s="3">
        <v>12</v>
      </c>
      <c r="E82" s="141">
        <v>18.760000000000002</v>
      </c>
      <c r="F82" s="141">
        <v>0</v>
      </c>
      <c r="G82" s="140">
        <v>225</v>
      </c>
      <c r="H82" s="140">
        <v>0</v>
      </c>
      <c r="I82" s="142">
        <v>0</v>
      </c>
      <c r="J82" s="141">
        <v>0</v>
      </c>
      <c r="K82" s="141">
        <v>0</v>
      </c>
      <c r="T82">
        <v>225</v>
      </c>
      <c r="U82">
        <v>225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</row>
    <row r="83" spans="1:28" ht="14.25" x14ac:dyDescent="0.2">
      <c r="C83" s="35" t="s">
        <v>158</v>
      </c>
      <c r="D83" s="3"/>
      <c r="E83" s="139">
        <v>0</v>
      </c>
      <c r="F83" s="139">
        <v>0</v>
      </c>
      <c r="G83" s="140"/>
      <c r="H83" s="140"/>
      <c r="I83" s="140">
        <v>0</v>
      </c>
      <c r="J83" s="139">
        <v>0</v>
      </c>
      <c r="K83" s="139">
        <v>0</v>
      </c>
    </row>
    <row r="84" spans="1:28" ht="85.5" x14ac:dyDescent="0.2">
      <c r="A84" s="156" t="s">
        <v>139</v>
      </c>
      <c r="B84" s="156" t="s">
        <v>1638</v>
      </c>
      <c r="C84" s="155" t="s">
        <v>1639</v>
      </c>
      <c r="D84" s="3">
        <v>0.05</v>
      </c>
      <c r="E84" s="141">
        <v>933.66</v>
      </c>
      <c r="F84" s="141">
        <v>0</v>
      </c>
      <c r="G84" s="140">
        <v>47</v>
      </c>
      <c r="H84" s="140">
        <v>47</v>
      </c>
      <c r="I84" s="142">
        <v>0</v>
      </c>
      <c r="J84" s="141">
        <v>119.7</v>
      </c>
      <c r="K84" s="141">
        <v>5.9850000000000003</v>
      </c>
      <c r="T84">
        <v>108</v>
      </c>
      <c r="U84">
        <v>0</v>
      </c>
      <c r="V84">
        <v>47</v>
      </c>
      <c r="W84">
        <v>0</v>
      </c>
      <c r="X84">
        <v>0</v>
      </c>
      <c r="Y84">
        <v>5.9850000000000003</v>
      </c>
      <c r="Z84">
        <v>0</v>
      </c>
      <c r="AA84">
        <v>37</v>
      </c>
      <c r="AB84">
        <v>24</v>
      </c>
    </row>
    <row r="85" spans="1:28" ht="14.25" x14ac:dyDescent="0.2">
      <c r="C85" s="35" t="s">
        <v>350</v>
      </c>
      <c r="D85" s="3"/>
      <c r="E85" s="139">
        <v>933.66</v>
      </c>
      <c r="F85" s="139">
        <v>0</v>
      </c>
      <c r="G85" s="140"/>
      <c r="H85" s="140"/>
      <c r="I85" s="140">
        <v>0</v>
      </c>
      <c r="J85" s="139">
        <v>0</v>
      </c>
      <c r="K85" s="139">
        <v>0</v>
      </c>
    </row>
    <row r="86" spans="1:28" x14ac:dyDescent="0.2">
      <c r="C86" s="36" t="s">
        <v>351</v>
      </c>
    </row>
    <row r="87" spans="1:28" x14ac:dyDescent="0.2">
      <c r="C87" s="20" t="s">
        <v>89</v>
      </c>
      <c r="D87" s="37">
        <v>78</v>
      </c>
      <c r="E87" s="144">
        <v>728.25479999999993</v>
      </c>
      <c r="F87" s="37"/>
      <c r="G87" s="143">
        <v>37</v>
      </c>
      <c r="H87" s="37" t="s">
        <v>220</v>
      </c>
      <c r="I87" s="37"/>
      <c r="J87" s="37"/>
      <c r="K87" s="37"/>
    </row>
    <row r="88" spans="1:28" x14ac:dyDescent="0.2">
      <c r="C88" s="20" t="s">
        <v>92</v>
      </c>
      <c r="D88" s="37">
        <v>50</v>
      </c>
      <c r="E88" s="144">
        <v>466.83</v>
      </c>
      <c r="F88" s="37"/>
      <c r="G88" s="143">
        <v>24</v>
      </c>
      <c r="H88" s="37" t="s">
        <v>185</v>
      </c>
      <c r="I88" s="37"/>
      <c r="J88" s="37"/>
      <c r="K88" s="37"/>
    </row>
    <row r="89" spans="1:28" x14ac:dyDescent="0.2">
      <c r="C89" s="20" t="s">
        <v>95</v>
      </c>
      <c r="D89" s="37"/>
      <c r="E89" s="144">
        <v>2128.7447999999999</v>
      </c>
      <c r="F89" s="37"/>
      <c r="G89" s="143">
        <v>108</v>
      </c>
      <c r="H89" s="37"/>
      <c r="I89" s="37"/>
      <c r="J89" s="37"/>
      <c r="K89" s="37"/>
    </row>
    <row r="90" spans="1:28" ht="14.25" x14ac:dyDescent="0.2">
      <c r="A90" s="156" t="s">
        <v>354</v>
      </c>
      <c r="B90" s="156" t="s">
        <v>1146</v>
      </c>
      <c r="C90" s="155" t="s">
        <v>98</v>
      </c>
      <c r="D90" s="3">
        <v>7.4999999999999997E-3</v>
      </c>
      <c r="E90" s="141">
        <v>0</v>
      </c>
      <c r="F90" s="141">
        <v>0</v>
      </c>
      <c r="G90" s="140">
        <v>0</v>
      </c>
      <c r="H90" s="140">
        <v>0</v>
      </c>
      <c r="I90" s="142">
        <v>0</v>
      </c>
      <c r="J90" s="141">
        <v>0</v>
      </c>
      <c r="K90" s="141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</row>
    <row r="91" spans="1:28" ht="14.25" x14ac:dyDescent="0.2">
      <c r="C91" s="35" t="s">
        <v>99</v>
      </c>
      <c r="D91" s="3"/>
      <c r="E91" s="139">
        <v>0</v>
      </c>
      <c r="F91" s="139">
        <v>0</v>
      </c>
      <c r="G91" s="140"/>
      <c r="H91" s="140"/>
      <c r="I91" s="140">
        <v>0</v>
      </c>
      <c r="J91" s="139">
        <v>0</v>
      </c>
      <c r="K91" s="139">
        <v>0</v>
      </c>
    </row>
    <row r="92" spans="1:28" ht="85.5" x14ac:dyDescent="0.2">
      <c r="A92" s="156" t="s">
        <v>140</v>
      </c>
      <c r="B92" s="156" t="s">
        <v>1641</v>
      </c>
      <c r="C92" s="155" t="s">
        <v>1642</v>
      </c>
      <c r="D92" s="3">
        <v>0.05</v>
      </c>
      <c r="E92" s="141">
        <v>1066.73</v>
      </c>
      <c r="F92" s="141">
        <v>1.56</v>
      </c>
      <c r="G92" s="140">
        <v>54</v>
      </c>
      <c r="H92" s="140">
        <v>34</v>
      </c>
      <c r="I92" s="142">
        <v>0</v>
      </c>
      <c r="J92" s="141">
        <v>78.66</v>
      </c>
      <c r="K92" s="141">
        <v>3.9329999999999998</v>
      </c>
      <c r="T92">
        <v>98</v>
      </c>
      <c r="U92">
        <v>20</v>
      </c>
      <c r="V92">
        <v>34</v>
      </c>
      <c r="W92">
        <v>0</v>
      </c>
      <c r="X92">
        <v>0</v>
      </c>
      <c r="Y92">
        <v>3.9329999999999998</v>
      </c>
      <c r="Z92">
        <v>2.5000000000000005E-3</v>
      </c>
      <c r="AA92">
        <v>27</v>
      </c>
      <c r="AB92">
        <v>17</v>
      </c>
    </row>
    <row r="93" spans="1:28" ht="14.25" x14ac:dyDescent="0.2">
      <c r="C93" s="35" t="s">
        <v>350</v>
      </c>
      <c r="D93" s="3"/>
      <c r="E93" s="139">
        <v>670.97</v>
      </c>
      <c r="F93" s="139">
        <v>0.68</v>
      </c>
      <c r="G93" s="140"/>
      <c r="H93" s="140"/>
      <c r="I93" s="140">
        <v>0</v>
      </c>
      <c r="J93" s="139">
        <v>0.05</v>
      </c>
      <c r="K93" s="139">
        <v>2.5000000000000005E-3</v>
      </c>
    </row>
    <row r="94" spans="1:28" x14ac:dyDescent="0.2">
      <c r="C94" s="36" t="s">
        <v>351</v>
      </c>
    </row>
    <row r="95" spans="1:28" x14ac:dyDescent="0.2">
      <c r="C95" s="20" t="s">
        <v>89</v>
      </c>
      <c r="D95" s="37">
        <v>78</v>
      </c>
      <c r="E95" s="144">
        <v>523.88699999999994</v>
      </c>
      <c r="F95" s="37"/>
      <c r="G95" s="143">
        <v>27</v>
      </c>
      <c r="H95" s="37" t="s">
        <v>220</v>
      </c>
      <c r="I95" s="37"/>
      <c r="J95" s="37"/>
      <c r="K95" s="37"/>
    </row>
    <row r="96" spans="1:28" x14ac:dyDescent="0.2">
      <c r="C96" s="20" t="s">
        <v>92</v>
      </c>
      <c r="D96" s="37">
        <v>50</v>
      </c>
      <c r="E96" s="144">
        <v>335.82499999999999</v>
      </c>
      <c r="F96" s="37"/>
      <c r="G96" s="143">
        <v>17</v>
      </c>
      <c r="H96" s="37" t="s">
        <v>185</v>
      </c>
      <c r="I96" s="37"/>
      <c r="J96" s="37"/>
      <c r="K96" s="37"/>
    </row>
    <row r="97" spans="1:28" x14ac:dyDescent="0.2">
      <c r="C97" s="20" t="s">
        <v>95</v>
      </c>
      <c r="D97" s="37"/>
      <c r="E97" s="144">
        <v>1926.442</v>
      </c>
      <c r="F97" s="37"/>
      <c r="G97" s="143">
        <v>98</v>
      </c>
      <c r="H97" s="37"/>
      <c r="I97" s="37"/>
      <c r="J97" s="37"/>
      <c r="K97" s="37"/>
    </row>
    <row r="98" spans="1:28" ht="133.5" x14ac:dyDescent="0.2">
      <c r="A98" s="156" t="s">
        <v>141</v>
      </c>
      <c r="B98" s="156" t="s">
        <v>1680</v>
      </c>
      <c r="C98" s="155" t="s">
        <v>1623</v>
      </c>
      <c r="D98" s="3">
        <v>1.6</v>
      </c>
      <c r="E98" s="141">
        <v>136.46</v>
      </c>
      <c r="F98" s="141">
        <v>21.59</v>
      </c>
      <c r="G98" s="140">
        <v>219</v>
      </c>
      <c r="H98" s="140">
        <v>40</v>
      </c>
      <c r="I98" s="142">
        <v>35</v>
      </c>
      <c r="J98" s="141">
        <v>2.5299999999999998</v>
      </c>
      <c r="K98" s="141">
        <v>4.048</v>
      </c>
      <c r="T98">
        <v>287</v>
      </c>
      <c r="U98">
        <v>144</v>
      </c>
      <c r="V98">
        <v>40</v>
      </c>
      <c r="W98">
        <v>35</v>
      </c>
      <c r="X98">
        <v>6</v>
      </c>
      <c r="Y98">
        <v>4.048</v>
      </c>
      <c r="Z98">
        <v>0.5</v>
      </c>
      <c r="AA98">
        <v>41</v>
      </c>
      <c r="AB98">
        <v>27</v>
      </c>
    </row>
    <row r="99" spans="1:28" ht="14.25" x14ac:dyDescent="0.2">
      <c r="C99" s="35" t="s">
        <v>182</v>
      </c>
      <c r="D99" s="3"/>
      <c r="E99" s="139">
        <v>25.09</v>
      </c>
      <c r="F99" s="139">
        <v>3.63</v>
      </c>
      <c r="G99" s="140"/>
      <c r="H99" s="140"/>
      <c r="I99" s="140">
        <v>6</v>
      </c>
      <c r="J99" s="139">
        <v>0.3125</v>
      </c>
      <c r="K99" s="139">
        <v>0.5</v>
      </c>
    </row>
    <row r="100" spans="1:28" x14ac:dyDescent="0.2">
      <c r="C100" s="36" t="s">
        <v>352</v>
      </c>
    </row>
    <row r="101" spans="1:28" x14ac:dyDescent="0.2">
      <c r="C101" s="20" t="s">
        <v>89</v>
      </c>
      <c r="D101" s="37">
        <v>100</v>
      </c>
      <c r="E101" s="144">
        <v>25.847999999999999</v>
      </c>
      <c r="F101" s="37" t="s">
        <v>353</v>
      </c>
      <c r="G101" s="143">
        <v>41</v>
      </c>
      <c r="H101" s="37" t="s">
        <v>229</v>
      </c>
      <c r="I101" s="37"/>
      <c r="J101" s="37"/>
      <c r="K101" s="37"/>
    </row>
    <row r="102" spans="1:28" x14ac:dyDescent="0.2">
      <c r="C102" s="20" t="s">
        <v>92</v>
      </c>
      <c r="D102" s="37">
        <v>70</v>
      </c>
      <c r="E102" s="144">
        <v>17.0884</v>
      </c>
      <c r="F102" s="37" t="s">
        <v>93</v>
      </c>
      <c r="G102" s="143">
        <v>27</v>
      </c>
      <c r="H102" s="37" t="s">
        <v>94</v>
      </c>
      <c r="I102" s="37"/>
      <c r="J102" s="37"/>
      <c r="K102" s="37"/>
    </row>
    <row r="103" spans="1:28" x14ac:dyDescent="0.2">
      <c r="C103" s="20" t="s">
        <v>95</v>
      </c>
      <c r="D103" s="37"/>
      <c r="E103" s="144">
        <v>179.3964</v>
      </c>
      <c r="F103" s="37"/>
      <c r="G103" s="143">
        <v>287</v>
      </c>
      <c r="H103" s="37"/>
      <c r="I103" s="37"/>
      <c r="J103" s="37"/>
      <c r="K103" s="37"/>
    </row>
    <row r="104" spans="1:28" ht="28.5" x14ac:dyDescent="0.2">
      <c r="A104" s="156" t="s">
        <v>1160</v>
      </c>
      <c r="B104" s="156" t="s">
        <v>1146</v>
      </c>
      <c r="C104" s="155" t="s">
        <v>355</v>
      </c>
      <c r="D104" s="3">
        <v>17.600000000000001</v>
      </c>
      <c r="E104" s="141">
        <v>0</v>
      </c>
      <c r="F104" s="141">
        <v>0</v>
      </c>
      <c r="G104" s="140">
        <v>0</v>
      </c>
      <c r="H104" s="140">
        <v>0</v>
      </c>
      <c r="I104" s="142">
        <v>0</v>
      </c>
      <c r="J104" s="141">
        <v>0</v>
      </c>
      <c r="K104" s="141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</row>
    <row r="105" spans="1:28" ht="14.25" x14ac:dyDescent="0.2">
      <c r="C105" s="35" t="s">
        <v>171</v>
      </c>
      <c r="D105" s="3"/>
      <c r="E105" s="139">
        <v>0</v>
      </c>
      <c r="F105" s="139">
        <v>0</v>
      </c>
      <c r="G105" s="140"/>
      <c r="H105" s="140"/>
      <c r="I105" s="140">
        <v>0</v>
      </c>
      <c r="J105" s="139">
        <v>0</v>
      </c>
      <c r="K105" s="139">
        <v>0</v>
      </c>
    </row>
    <row r="106" spans="1:28" ht="99.75" x14ac:dyDescent="0.2">
      <c r="A106" s="156" t="s">
        <v>142</v>
      </c>
      <c r="B106" s="156" t="s">
        <v>1681</v>
      </c>
      <c r="C106" s="155" t="s">
        <v>356</v>
      </c>
      <c r="D106" s="3">
        <v>1.76</v>
      </c>
      <c r="E106" s="141">
        <v>133.30000000000001</v>
      </c>
      <c r="F106" s="141">
        <v>0</v>
      </c>
      <c r="G106" s="140">
        <v>235</v>
      </c>
      <c r="H106" s="140">
        <v>0</v>
      </c>
      <c r="I106" s="142">
        <v>0</v>
      </c>
      <c r="J106" s="141">
        <v>0</v>
      </c>
      <c r="K106" s="141">
        <v>0</v>
      </c>
      <c r="T106">
        <v>235</v>
      </c>
      <c r="U106">
        <v>235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ht="14.25" x14ac:dyDescent="0.2">
      <c r="C107" s="35" t="s">
        <v>182</v>
      </c>
      <c r="D107" s="3"/>
      <c r="E107" s="139">
        <v>0</v>
      </c>
      <c r="F107" s="139">
        <v>0</v>
      </c>
      <c r="G107" s="140"/>
      <c r="H107" s="140"/>
      <c r="I107" s="140">
        <v>0</v>
      </c>
      <c r="J107" s="139">
        <v>0</v>
      </c>
      <c r="K107" s="139">
        <v>0</v>
      </c>
    </row>
    <row r="108" spans="1:28" x14ac:dyDescent="0.2">
      <c r="C108" s="36" t="s">
        <v>357</v>
      </c>
    </row>
    <row r="110" spans="1:28" ht="16.5" x14ac:dyDescent="0.25">
      <c r="A110" s="186" t="s">
        <v>358</v>
      </c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</row>
    <row r="111" spans="1:28" ht="147.75" x14ac:dyDescent="0.2">
      <c r="A111" s="156" t="s">
        <v>144</v>
      </c>
      <c r="B111" s="156" t="s">
        <v>1669</v>
      </c>
      <c r="C111" s="155" t="s">
        <v>1624</v>
      </c>
      <c r="D111" s="3">
        <v>0.4</v>
      </c>
      <c r="E111" s="141">
        <v>286.77</v>
      </c>
      <c r="F111" s="141">
        <v>48.74</v>
      </c>
      <c r="G111" s="140">
        <v>114</v>
      </c>
      <c r="H111" s="140">
        <v>59</v>
      </c>
      <c r="I111" s="142">
        <v>19</v>
      </c>
      <c r="J111" s="141">
        <v>15.766500000000001</v>
      </c>
      <c r="K111" s="141">
        <v>6.3066000000000004</v>
      </c>
      <c r="T111">
        <v>224</v>
      </c>
      <c r="U111">
        <v>36</v>
      </c>
      <c r="V111">
        <v>59</v>
      </c>
      <c r="W111">
        <v>19</v>
      </c>
      <c r="X111">
        <v>0</v>
      </c>
      <c r="Y111">
        <v>6.3066000000000004</v>
      </c>
      <c r="Z111">
        <v>1.0000000000000002E-2</v>
      </c>
      <c r="AA111">
        <v>68</v>
      </c>
      <c r="AB111">
        <v>42</v>
      </c>
    </row>
    <row r="112" spans="1:28" ht="14.25" x14ac:dyDescent="0.2">
      <c r="C112" s="35" t="s">
        <v>169</v>
      </c>
      <c r="D112" s="3"/>
      <c r="E112" s="139">
        <v>148.19999999999999</v>
      </c>
      <c r="F112" s="139">
        <v>0.28999999999999998</v>
      </c>
      <c r="G112" s="140"/>
      <c r="H112" s="140"/>
      <c r="I112" s="140">
        <v>0</v>
      </c>
      <c r="J112" s="139">
        <v>2.5000000000000001E-2</v>
      </c>
      <c r="K112" s="139">
        <v>1.0000000000000002E-2</v>
      </c>
    </row>
    <row r="113" spans="1:28" x14ac:dyDescent="0.2">
      <c r="C113" s="36" t="s">
        <v>359</v>
      </c>
    </row>
    <row r="114" spans="1:28" x14ac:dyDescent="0.2">
      <c r="C114" s="20" t="s">
        <v>89</v>
      </c>
      <c r="D114" s="37">
        <v>128</v>
      </c>
      <c r="E114" s="144">
        <v>171.06047999999998</v>
      </c>
      <c r="F114" s="37" t="s">
        <v>330</v>
      </c>
      <c r="G114" s="143">
        <v>68</v>
      </c>
      <c r="H114" s="37" t="s">
        <v>331</v>
      </c>
      <c r="I114" s="37"/>
      <c r="J114" s="37"/>
      <c r="K114" s="37"/>
    </row>
    <row r="115" spans="1:28" x14ac:dyDescent="0.2">
      <c r="C115" s="20" t="s">
        <v>92</v>
      </c>
      <c r="D115" s="37">
        <v>83</v>
      </c>
      <c r="E115" s="144">
        <v>104.75969499999998</v>
      </c>
      <c r="F115" s="37" t="s">
        <v>332</v>
      </c>
      <c r="G115" s="143">
        <v>42</v>
      </c>
      <c r="H115" s="37" t="s">
        <v>333</v>
      </c>
      <c r="I115" s="37"/>
      <c r="J115" s="37"/>
      <c r="K115" s="37"/>
    </row>
    <row r="116" spans="1:28" x14ac:dyDescent="0.2">
      <c r="C116" s="20" t="s">
        <v>95</v>
      </c>
      <c r="D116" s="37"/>
      <c r="E116" s="144">
        <v>562.59017499999993</v>
      </c>
      <c r="F116" s="37"/>
      <c r="G116" s="143">
        <v>224</v>
      </c>
      <c r="H116" s="37"/>
      <c r="I116" s="37"/>
      <c r="J116" s="37"/>
      <c r="K116" s="37"/>
    </row>
    <row r="117" spans="1:28" ht="14.25" x14ac:dyDescent="0.2">
      <c r="A117" s="156" t="s">
        <v>1682</v>
      </c>
      <c r="B117" s="156" t="s">
        <v>1146</v>
      </c>
      <c r="C117" s="155" t="s">
        <v>1662</v>
      </c>
      <c r="D117" s="3">
        <v>6.68</v>
      </c>
      <c r="E117" s="141">
        <v>0</v>
      </c>
      <c r="F117" s="141">
        <v>0</v>
      </c>
      <c r="G117" s="140">
        <v>0</v>
      </c>
      <c r="H117" s="140">
        <v>0</v>
      </c>
      <c r="I117" s="142">
        <v>0</v>
      </c>
      <c r="J117" s="141">
        <v>0</v>
      </c>
      <c r="K117" s="141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</row>
    <row r="118" spans="1:28" ht="14.25" x14ac:dyDescent="0.2">
      <c r="C118" s="35" t="s">
        <v>173</v>
      </c>
      <c r="D118" s="3"/>
      <c r="E118" s="139">
        <v>0</v>
      </c>
      <c r="F118" s="139">
        <v>0</v>
      </c>
      <c r="G118" s="140"/>
      <c r="H118" s="140"/>
      <c r="I118" s="140">
        <v>0</v>
      </c>
      <c r="J118" s="139">
        <v>0</v>
      </c>
      <c r="K118" s="139">
        <v>0</v>
      </c>
    </row>
    <row r="119" spans="1:28" ht="14.25" x14ac:dyDescent="0.2">
      <c r="A119" s="156" t="s">
        <v>1683</v>
      </c>
      <c r="B119" s="156" t="s">
        <v>1146</v>
      </c>
      <c r="C119" s="155" t="s">
        <v>1664</v>
      </c>
      <c r="D119" s="3">
        <v>41</v>
      </c>
      <c r="E119" s="141">
        <v>0</v>
      </c>
      <c r="F119" s="141">
        <v>0</v>
      </c>
      <c r="G119" s="140">
        <v>0</v>
      </c>
      <c r="H119" s="140">
        <v>0</v>
      </c>
      <c r="I119" s="142">
        <v>0</v>
      </c>
      <c r="J119" s="141">
        <v>0</v>
      </c>
      <c r="K119" s="141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</row>
    <row r="120" spans="1:28" ht="14.25" x14ac:dyDescent="0.2">
      <c r="C120" s="35" t="s">
        <v>171</v>
      </c>
      <c r="D120" s="3"/>
      <c r="E120" s="139">
        <v>0</v>
      </c>
      <c r="F120" s="139">
        <v>0</v>
      </c>
      <c r="G120" s="140"/>
      <c r="H120" s="140"/>
      <c r="I120" s="140">
        <v>0</v>
      </c>
      <c r="J120" s="139">
        <v>0</v>
      </c>
      <c r="K120" s="139">
        <v>0</v>
      </c>
    </row>
    <row r="121" spans="1:28" ht="99.75" x14ac:dyDescent="0.2">
      <c r="A121" s="156" t="s">
        <v>148</v>
      </c>
      <c r="B121" s="156" t="s">
        <v>1665</v>
      </c>
      <c r="C121" s="155" t="s">
        <v>1662</v>
      </c>
      <c r="D121" s="3">
        <v>67</v>
      </c>
      <c r="E121" s="141">
        <v>8.09</v>
      </c>
      <c r="F121" s="141">
        <v>0</v>
      </c>
      <c r="G121" s="140">
        <v>542</v>
      </c>
      <c r="H121" s="140">
        <v>0</v>
      </c>
      <c r="I121" s="142">
        <v>0</v>
      </c>
      <c r="J121" s="141">
        <v>0</v>
      </c>
      <c r="K121" s="141">
        <v>0</v>
      </c>
      <c r="T121">
        <v>542</v>
      </c>
      <c r="U121">
        <v>542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</row>
    <row r="122" spans="1:28" ht="14.25" x14ac:dyDescent="0.2">
      <c r="C122" s="35" t="s">
        <v>158</v>
      </c>
      <c r="D122" s="3"/>
      <c r="E122" s="139">
        <v>0</v>
      </c>
      <c r="F122" s="139">
        <v>0</v>
      </c>
      <c r="G122" s="140"/>
      <c r="H122" s="140"/>
      <c r="I122" s="140">
        <v>0</v>
      </c>
      <c r="J122" s="139">
        <v>0</v>
      </c>
      <c r="K122" s="139">
        <v>0</v>
      </c>
    </row>
    <row r="123" spans="1:28" ht="99.75" x14ac:dyDescent="0.2">
      <c r="A123" s="156" t="s">
        <v>149</v>
      </c>
      <c r="B123" s="156" t="s">
        <v>1672</v>
      </c>
      <c r="C123" s="155" t="s">
        <v>340</v>
      </c>
      <c r="D123" s="3">
        <v>41</v>
      </c>
      <c r="E123" s="141">
        <v>4.97</v>
      </c>
      <c r="F123" s="141">
        <v>0</v>
      </c>
      <c r="G123" s="140">
        <v>204</v>
      </c>
      <c r="H123" s="140">
        <v>0</v>
      </c>
      <c r="I123" s="142">
        <v>0</v>
      </c>
      <c r="J123" s="141">
        <v>0</v>
      </c>
      <c r="K123" s="141">
        <v>0</v>
      </c>
      <c r="T123">
        <v>204</v>
      </c>
      <c r="U123">
        <v>204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</row>
    <row r="124" spans="1:28" ht="14.25" x14ac:dyDescent="0.2">
      <c r="C124" s="35" t="s">
        <v>171</v>
      </c>
      <c r="D124" s="3"/>
      <c r="E124" s="139">
        <v>0</v>
      </c>
      <c r="F124" s="139">
        <v>0</v>
      </c>
      <c r="G124" s="140"/>
      <c r="H124" s="140"/>
      <c r="I124" s="140">
        <v>0</v>
      </c>
      <c r="J124" s="139">
        <v>0</v>
      </c>
      <c r="K124" s="139">
        <v>0</v>
      </c>
    </row>
    <row r="125" spans="1:28" ht="99.75" x14ac:dyDescent="0.2">
      <c r="A125" s="156" t="s">
        <v>150</v>
      </c>
      <c r="B125" s="156" t="s">
        <v>1673</v>
      </c>
      <c r="C125" s="155" t="s">
        <v>341</v>
      </c>
      <c r="D125" s="3">
        <v>2</v>
      </c>
      <c r="E125" s="141">
        <v>15.71</v>
      </c>
      <c r="F125" s="141">
        <v>0</v>
      </c>
      <c r="G125" s="140">
        <v>31</v>
      </c>
      <c r="H125" s="140">
        <v>0</v>
      </c>
      <c r="I125" s="142">
        <v>0</v>
      </c>
      <c r="J125" s="141">
        <v>0</v>
      </c>
      <c r="K125" s="141">
        <v>0</v>
      </c>
      <c r="T125">
        <v>31</v>
      </c>
      <c r="U125">
        <v>31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</row>
    <row r="126" spans="1:28" ht="14.25" x14ac:dyDescent="0.2">
      <c r="C126" s="35" t="s">
        <v>158</v>
      </c>
      <c r="D126" s="3"/>
      <c r="E126" s="139">
        <v>0</v>
      </c>
      <c r="F126" s="139">
        <v>0</v>
      </c>
      <c r="G126" s="140"/>
      <c r="H126" s="140"/>
      <c r="I126" s="140">
        <v>0</v>
      </c>
      <c r="J126" s="139">
        <v>0</v>
      </c>
      <c r="K126" s="139">
        <v>0</v>
      </c>
    </row>
    <row r="127" spans="1:28" ht="99.75" x14ac:dyDescent="0.2">
      <c r="A127" s="156" t="s">
        <v>151</v>
      </c>
      <c r="B127" s="156" t="s">
        <v>1674</v>
      </c>
      <c r="C127" s="155" t="s">
        <v>342</v>
      </c>
      <c r="D127" s="3">
        <v>5</v>
      </c>
      <c r="E127" s="141">
        <v>0.62</v>
      </c>
      <c r="F127" s="141">
        <v>0</v>
      </c>
      <c r="G127" s="140">
        <v>3</v>
      </c>
      <c r="H127" s="140">
        <v>0</v>
      </c>
      <c r="I127" s="142">
        <v>0</v>
      </c>
      <c r="J127" s="141">
        <v>0</v>
      </c>
      <c r="K127" s="141">
        <v>0</v>
      </c>
      <c r="T127">
        <v>3</v>
      </c>
      <c r="U127">
        <v>3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</row>
    <row r="128" spans="1:28" ht="14.25" x14ac:dyDescent="0.2">
      <c r="C128" s="35" t="s">
        <v>158</v>
      </c>
      <c r="D128" s="3"/>
      <c r="E128" s="139">
        <v>0</v>
      </c>
      <c r="F128" s="139">
        <v>0</v>
      </c>
      <c r="G128" s="140"/>
      <c r="H128" s="140"/>
      <c r="I128" s="140">
        <v>0</v>
      </c>
      <c r="J128" s="139">
        <v>0</v>
      </c>
      <c r="K128" s="139">
        <v>0</v>
      </c>
    </row>
    <row r="129" spans="1:28" ht="99.75" x14ac:dyDescent="0.2">
      <c r="A129" s="156" t="s">
        <v>152</v>
      </c>
      <c r="B129" s="156" t="s">
        <v>1676</v>
      </c>
      <c r="C129" s="155" t="s">
        <v>344</v>
      </c>
      <c r="D129" s="3">
        <v>15</v>
      </c>
      <c r="E129" s="141">
        <v>1.32</v>
      </c>
      <c r="F129" s="141">
        <v>0</v>
      </c>
      <c r="G129" s="140">
        <v>20</v>
      </c>
      <c r="H129" s="140">
        <v>0</v>
      </c>
      <c r="I129" s="142">
        <v>0</v>
      </c>
      <c r="J129" s="141">
        <v>0</v>
      </c>
      <c r="K129" s="141">
        <v>0</v>
      </c>
      <c r="T129">
        <v>20</v>
      </c>
      <c r="U129">
        <v>20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ht="14.25" x14ac:dyDescent="0.2">
      <c r="C130" s="35" t="s">
        <v>158</v>
      </c>
      <c r="D130" s="3"/>
      <c r="E130" s="139">
        <v>0</v>
      </c>
      <c r="F130" s="139">
        <v>0</v>
      </c>
      <c r="G130" s="140"/>
      <c r="H130" s="140"/>
      <c r="I130" s="140">
        <v>0</v>
      </c>
      <c r="J130" s="139">
        <v>0</v>
      </c>
      <c r="K130" s="139">
        <v>0</v>
      </c>
    </row>
    <row r="131" spans="1:28" ht="99.75" x14ac:dyDescent="0.2">
      <c r="A131" s="156" t="s">
        <v>154</v>
      </c>
      <c r="B131" s="156" t="s">
        <v>1678</v>
      </c>
      <c r="C131" s="155" t="s">
        <v>346</v>
      </c>
      <c r="D131" s="3">
        <v>9</v>
      </c>
      <c r="E131" s="141">
        <v>6.07</v>
      </c>
      <c r="F131" s="141">
        <v>0</v>
      </c>
      <c r="G131" s="140">
        <v>55</v>
      </c>
      <c r="H131" s="140">
        <v>0</v>
      </c>
      <c r="I131" s="142">
        <v>0</v>
      </c>
      <c r="J131" s="141">
        <v>0</v>
      </c>
      <c r="K131" s="141">
        <v>0</v>
      </c>
      <c r="T131">
        <v>55</v>
      </c>
      <c r="U131">
        <v>55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</row>
    <row r="132" spans="1:28" ht="14.25" x14ac:dyDescent="0.2">
      <c r="C132" s="35" t="s">
        <v>158</v>
      </c>
      <c r="D132" s="3"/>
      <c r="E132" s="139">
        <v>0</v>
      </c>
      <c r="F132" s="139">
        <v>0</v>
      </c>
      <c r="G132" s="140"/>
      <c r="H132" s="140"/>
      <c r="I132" s="140">
        <v>0</v>
      </c>
      <c r="J132" s="139">
        <v>0</v>
      </c>
      <c r="K132" s="139">
        <v>0</v>
      </c>
    </row>
    <row r="133" spans="1:28" ht="99.75" x14ac:dyDescent="0.2">
      <c r="A133" s="156" t="s">
        <v>155</v>
      </c>
      <c r="B133" s="156" t="s">
        <v>1679</v>
      </c>
      <c r="C133" s="155" t="s">
        <v>347</v>
      </c>
      <c r="D133" s="3">
        <v>4</v>
      </c>
      <c r="E133" s="141">
        <v>18.760000000000002</v>
      </c>
      <c r="F133" s="141">
        <v>0</v>
      </c>
      <c r="G133" s="140">
        <v>75</v>
      </c>
      <c r="H133" s="140">
        <v>0</v>
      </c>
      <c r="I133" s="142">
        <v>0</v>
      </c>
      <c r="J133" s="141">
        <v>0</v>
      </c>
      <c r="K133" s="141">
        <v>0</v>
      </c>
      <c r="T133">
        <v>75</v>
      </c>
      <c r="U133">
        <v>75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</row>
    <row r="134" spans="1:28" ht="14.25" x14ac:dyDescent="0.2">
      <c r="C134" s="35" t="s">
        <v>158</v>
      </c>
      <c r="D134" s="3"/>
      <c r="E134" s="139">
        <v>0</v>
      </c>
      <c r="F134" s="139">
        <v>0</v>
      </c>
      <c r="G134" s="140"/>
      <c r="H134" s="140"/>
      <c r="I134" s="140">
        <v>0</v>
      </c>
      <c r="J134" s="139">
        <v>0</v>
      </c>
      <c r="K134" s="139">
        <v>0</v>
      </c>
    </row>
    <row r="135" spans="1:28" ht="99.75" x14ac:dyDescent="0.2">
      <c r="A135" s="156" t="s">
        <v>156</v>
      </c>
      <c r="B135" s="156" t="s">
        <v>1684</v>
      </c>
      <c r="C135" s="155" t="s">
        <v>363</v>
      </c>
      <c r="D135" s="3">
        <v>2</v>
      </c>
      <c r="E135" s="141">
        <v>72.989999999999995</v>
      </c>
      <c r="F135" s="141">
        <v>0</v>
      </c>
      <c r="G135" s="140">
        <v>146</v>
      </c>
      <c r="H135" s="140">
        <v>0</v>
      </c>
      <c r="I135" s="142">
        <v>0</v>
      </c>
      <c r="J135" s="141">
        <v>0</v>
      </c>
      <c r="K135" s="141">
        <v>0</v>
      </c>
      <c r="T135">
        <v>146</v>
      </c>
      <c r="U135">
        <v>146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ht="14.25" x14ac:dyDescent="0.2">
      <c r="C136" s="35" t="s">
        <v>158</v>
      </c>
      <c r="D136" s="3"/>
      <c r="E136" s="139">
        <v>0</v>
      </c>
      <c r="F136" s="139">
        <v>0</v>
      </c>
      <c r="G136" s="140"/>
      <c r="H136" s="140"/>
      <c r="I136" s="140">
        <v>0</v>
      </c>
      <c r="J136" s="139">
        <v>0</v>
      </c>
      <c r="K136" s="139">
        <v>0</v>
      </c>
    </row>
    <row r="137" spans="1:28" ht="85.5" x14ac:dyDescent="0.2">
      <c r="A137" s="156" t="s">
        <v>159</v>
      </c>
      <c r="B137" s="156" t="s">
        <v>1638</v>
      </c>
      <c r="C137" s="155" t="s">
        <v>1639</v>
      </c>
      <c r="D137" s="3">
        <v>7.0000000000000007E-2</v>
      </c>
      <c r="E137" s="141">
        <v>933.66</v>
      </c>
      <c r="F137" s="141">
        <v>0</v>
      </c>
      <c r="G137" s="140">
        <v>65</v>
      </c>
      <c r="H137" s="140">
        <v>65</v>
      </c>
      <c r="I137" s="142">
        <v>0</v>
      </c>
      <c r="J137" s="141">
        <v>119.7</v>
      </c>
      <c r="K137" s="141">
        <v>8.3790000000000013</v>
      </c>
      <c r="T137">
        <v>149</v>
      </c>
      <c r="U137">
        <v>0</v>
      </c>
      <c r="V137">
        <v>65</v>
      </c>
      <c r="W137">
        <v>0</v>
      </c>
      <c r="X137">
        <v>0</v>
      </c>
      <c r="Y137">
        <v>8.3790000000000013</v>
      </c>
      <c r="Z137">
        <v>0</v>
      </c>
      <c r="AA137">
        <v>51</v>
      </c>
      <c r="AB137">
        <v>33</v>
      </c>
    </row>
    <row r="138" spans="1:28" ht="14.25" x14ac:dyDescent="0.2">
      <c r="C138" s="35" t="s">
        <v>350</v>
      </c>
      <c r="D138" s="3"/>
      <c r="E138" s="139">
        <v>933.66</v>
      </c>
      <c r="F138" s="139">
        <v>0</v>
      </c>
      <c r="G138" s="140"/>
      <c r="H138" s="140"/>
      <c r="I138" s="140">
        <v>0</v>
      </c>
      <c r="J138" s="139">
        <v>0</v>
      </c>
      <c r="K138" s="139">
        <v>0</v>
      </c>
    </row>
    <row r="139" spans="1:28" x14ac:dyDescent="0.2">
      <c r="C139" s="36" t="s">
        <v>364</v>
      </c>
    </row>
    <row r="140" spans="1:28" x14ac:dyDescent="0.2">
      <c r="C140" s="20" t="s">
        <v>89</v>
      </c>
      <c r="D140" s="37">
        <v>78</v>
      </c>
      <c r="E140" s="144">
        <v>728.25479999999993</v>
      </c>
      <c r="F140" s="37"/>
      <c r="G140" s="143">
        <v>51</v>
      </c>
      <c r="H140" s="37" t="s">
        <v>220</v>
      </c>
      <c r="I140" s="37"/>
      <c r="J140" s="37"/>
      <c r="K140" s="37"/>
    </row>
    <row r="141" spans="1:28" x14ac:dyDescent="0.2">
      <c r="C141" s="20" t="s">
        <v>92</v>
      </c>
      <c r="D141" s="37">
        <v>50</v>
      </c>
      <c r="E141" s="144">
        <v>466.83</v>
      </c>
      <c r="F141" s="37"/>
      <c r="G141" s="143">
        <v>33</v>
      </c>
      <c r="H141" s="37" t="s">
        <v>185</v>
      </c>
      <c r="I141" s="37"/>
      <c r="J141" s="37"/>
      <c r="K141" s="37"/>
    </row>
    <row r="142" spans="1:28" x14ac:dyDescent="0.2">
      <c r="C142" s="20" t="s">
        <v>95</v>
      </c>
      <c r="D142" s="37"/>
      <c r="E142" s="144">
        <v>2128.7447999999999</v>
      </c>
      <c r="F142" s="37"/>
      <c r="G142" s="143">
        <v>149</v>
      </c>
      <c r="H142" s="37"/>
      <c r="I142" s="37"/>
      <c r="J142" s="37"/>
      <c r="K142" s="37"/>
    </row>
    <row r="143" spans="1:28" ht="14.25" x14ac:dyDescent="0.2">
      <c r="A143" s="156" t="s">
        <v>366</v>
      </c>
      <c r="B143" s="156" t="s">
        <v>1146</v>
      </c>
      <c r="C143" s="155" t="s">
        <v>98</v>
      </c>
      <c r="D143" s="3">
        <v>1.0500000000000001E-2</v>
      </c>
      <c r="E143" s="141">
        <v>0</v>
      </c>
      <c r="F143" s="141">
        <v>0</v>
      </c>
      <c r="G143" s="140">
        <v>0</v>
      </c>
      <c r="H143" s="140">
        <v>0</v>
      </c>
      <c r="I143" s="142">
        <v>0</v>
      </c>
      <c r="J143" s="141">
        <v>0</v>
      </c>
      <c r="K143" s="141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</row>
    <row r="144" spans="1:28" ht="14.25" x14ac:dyDescent="0.2">
      <c r="C144" s="35" t="s">
        <v>99</v>
      </c>
      <c r="D144" s="3"/>
      <c r="E144" s="139">
        <v>0</v>
      </c>
      <c r="F144" s="139">
        <v>0</v>
      </c>
      <c r="G144" s="140"/>
      <c r="H144" s="140"/>
      <c r="I144" s="140">
        <v>0</v>
      </c>
      <c r="J144" s="139">
        <v>0</v>
      </c>
      <c r="K144" s="139">
        <v>0</v>
      </c>
    </row>
    <row r="145" spans="1:28" ht="85.5" x14ac:dyDescent="0.2">
      <c r="A145" s="156" t="s">
        <v>160</v>
      </c>
      <c r="B145" s="156" t="s">
        <v>1641</v>
      </c>
      <c r="C145" s="155" t="s">
        <v>1642</v>
      </c>
      <c r="D145" s="3">
        <v>7.0000000000000007E-2</v>
      </c>
      <c r="E145" s="141">
        <v>1066.73</v>
      </c>
      <c r="F145" s="141">
        <v>1.56</v>
      </c>
      <c r="G145" s="140">
        <v>75</v>
      </c>
      <c r="H145" s="140">
        <v>47</v>
      </c>
      <c r="I145" s="142">
        <v>0</v>
      </c>
      <c r="J145" s="141">
        <v>78.66</v>
      </c>
      <c r="K145" s="141">
        <v>5.5062000000000006</v>
      </c>
      <c r="T145">
        <v>136</v>
      </c>
      <c r="U145">
        <v>28</v>
      </c>
      <c r="V145">
        <v>47</v>
      </c>
      <c r="W145">
        <v>0</v>
      </c>
      <c r="X145">
        <v>0</v>
      </c>
      <c r="Y145">
        <v>5.5062000000000006</v>
      </c>
      <c r="Z145">
        <v>3.5000000000000005E-3</v>
      </c>
      <c r="AA145">
        <v>37</v>
      </c>
      <c r="AB145">
        <v>24</v>
      </c>
    </row>
    <row r="146" spans="1:28" ht="14.25" x14ac:dyDescent="0.2">
      <c r="C146" s="35" t="s">
        <v>350</v>
      </c>
      <c r="D146" s="3"/>
      <c r="E146" s="139">
        <v>670.97</v>
      </c>
      <c r="F146" s="139">
        <v>0.68</v>
      </c>
      <c r="G146" s="140"/>
      <c r="H146" s="140"/>
      <c r="I146" s="140">
        <v>0</v>
      </c>
      <c r="J146" s="139">
        <v>0.05</v>
      </c>
      <c r="K146" s="139">
        <v>3.5000000000000005E-3</v>
      </c>
    </row>
    <row r="147" spans="1:28" x14ac:dyDescent="0.2">
      <c r="C147" s="36" t="s">
        <v>364</v>
      </c>
    </row>
    <row r="148" spans="1:28" x14ac:dyDescent="0.2">
      <c r="C148" s="20" t="s">
        <v>89</v>
      </c>
      <c r="D148" s="37">
        <v>78</v>
      </c>
      <c r="E148" s="144">
        <v>523.88699999999994</v>
      </c>
      <c r="F148" s="37"/>
      <c r="G148" s="143">
        <v>37</v>
      </c>
      <c r="H148" s="37" t="s">
        <v>220</v>
      </c>
      <c r="I148" s="37"/>
      <c r="J148" s="37"/>
      <c r="K148" s="37"/>
    </row>
    <row r="149" spans="1:28" x14ac:dyDescent="0.2">
      <c r="C149" s="20" t="s">
        <v>92</v>
      </c>
      <c r="D149" s="37">
        <v>50</v>
      </c>
      <c r="E149" s="144">
        <v>335.82499999999999</v>
      </c>
      <c r="F149" s="37"/>
      <c r="G149" s="143">
        <v>24</v>
      </c>
      <c r="H149" s="37" t="s">
        <v>185</v>
      </c>
      <c r="I149" s="37"/>
      <c r="J149" s="37"/>
      <c r="K149" s="37"/>
    </row>
    <row r="150" spans="1:28" x14ac:dyDescent="0.2">
      <c r="C150" s="20" t="s">
        <v>95</v>
      </c>
      <c r="D150" s="37"/>
      <c r="E150" s="144">
        <v>1926.442</v>
      </c>
      <c r="F150" s="37"/>
      <c r="G150" s="143">
        <v>136</v>
      </c>
      <c r="H150" s="37"/>
      <c r="I150" s="37"/>
      <c r="J150" s="37"/>
      <c r="K150" s="37"/>
    </row>
    <row r="151" spans="1:28" ht="133.5" x14ac:dyDescent="0.2">
      <c r="A151" s="156" t="s">
        <v>161</v>
      </c>
      <c r="B151" s="156" t="s">
        <v>1680</v>
      </c>
      <c r="C151" s="155" t="s">
        <v>1623</v>
      </c>
      <c r="D151" s="3">
        <v>3.5</v>
      </c>
      <c r="E151" s="141">
        <v>136.46</v>
      </c>
      <c r="F151" s="141">
        <v>21.59</v>
      </c>
      <c r="G151" s="140">
        <v>478</v>
      </c>
      <c r="H151" s="140">
        <v>88</v>
      </c>
      <c r="I151" s="142">
        <v>76</v>
      </c>
      <c r="J151" s="141">
        <v>2.5299999999999998</v>
      </c>
      <c r="K151" s="141">
        <v>8.8549999999999986</v>
      </c>
      <c r="T151">
        <v>629</v>
      </c>
      <c r="U151">
        <v>314</v>
      </c>
      <c r="V151">
        <v>88</v>
      </c>
      <c r="W151">
        <v>76</v>
      </c>
      <c r="X151">
        <v>13</v>
      </c>
      <c r="Y151">
        <v>8.8549999999999986</v>
      </c>
      <c r="Z151">
        <v>1.09375</v>
      </c>
      <c r="AA151">
        <v>91</v>
      </c>
      <c r="AB151">
        <v>60</v>
      </c>
    </row>
    <row r="152" spans="1:28" ht="14.25" x14ac:dyDescent="0.2">
      <c r="C152" s="35" t="s">
        <v>182</v>
      </c>
      <c r="D152" s="3"/>
      <c r="E152" s="139">
        <v>25.09</v>
      </c>
      <c r="F152" s="139">
        <v>3.63</v>
      </c>
      <c r="G152" s="140"/>
      <c r="H152" s="140"/>
      <c r="I152" s="140">
        <v>13</v>
      </c>
      <c r="J152" s="139">
        <v>0.3125</v>
      </c>
      <c r="K152" s="139">
        <v>1.09375</v>
      </c>
    </row>
    <row r="153" spans="1:28" x14ac:dyDescent="0.2">
      <c r="C153" s="36" t="s">
        <v>365</v>
      </c>
    </row>
    <row r="154" spans="1:28" x14ac:dyDescent="0.2">
      <c r="C154" s="20" t="s">
        <v>89</v>
      </c>
      <c r="D154" s="37">
        <v>100</v>
      </c>
      <c r="E154" s="144">
        <v>25.847999999999999</v>
      </c>
      <c r="F154" s="37" t="s">
        <v>353</v>
      </c>
      <c r="G154" s="143">
        <v>91</v>
      </c>
      <c r="H154" s="37" t="s">
        <v>229</v>
      </c>
      <c r="I154" s="37"/>
      <c r="J154" s="37"/>
      <c r="K154" s="37"/>
    </row>
    <row r="155" spans="1:28" x14ac:dyDescent="0.2">
      <c r="C155" s="20" t="s">
        <v>92</v>
      </c>
      <c r="D155" s="37">
        <v>70</v>
      </c>
      <c r="E155" s="144">
        <v>17.0884</v>
      </c>
      <c r="F155" s="37" t="s">
        <v>93</v>
      </c>
      <c r="G155" s="143">
        <v>60</v>
      </c>
      <c r="H155" s="37" t="s">
        <v>94</v>
      </c>
      <c r="I155" s="37"/>
      <c r="J155" s="37"/>
      <c r="K155" s="37"/>
    </row>
    <row r="156" spans="1:28" x14ac:dyDescent="0.2">
      <c r="C156" s="20" t="s">
        <v>95</v>
      </c>
      <c r="D156" s="37"/>
      <c r="E156" s="144">
        <v>179.3964</v>
      </c>
      <c r="F156" s="37"/>
      <c r="G156" s="143">
        <v>629</v>
      </c>
      <c r="H156" s="37"/>
      <c r="I156" s="37"/>
      <c r="J156" s="37"/>
      <c r="K156" s="37"/>
    </row>
    <row r="157" spans="1:28" ht="28.5" x14ac:dyDescent="0.2">
      <c r="A157" s="156" t="s">
        <v>1685</v>
      </c>
      <c r="B157" s="156" t="s">
        <v>1146</v>
      </c>
      <c r="C157" s="155" t="s">
        <v>355</v>
      </c>
      <c r="D157" s="3">
        <v>38.5</v>
      </c>
      <c r="E157" s="141">
        <v>0</v>
      </c>
      <c r="F157" s="141">
        <v>0</v>
      </c>
      <c r="G157" s="140">
        <v>0</v>
      </c>
      <c r="H157" s="140">
        <v>0</v>
      </c>
      <c r="I157" s="142">
        <v>0</v>
      </c>
      <c r="J157" s="141">
        <v>0</v>
      </c>
      <c r="K157" s="141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</row>
    <row r="158" spans="1:28" ht="14.25" x14ac:dyDescent="0.2">
      <c r="C158" s="35" t="s">
        <v>171</v>
      </c>
      <c r="D158" s="3"/>
      <c r="E158" s="139">
        <v>0</v>
      </c>
      <c r="F158" s="139">
        <v>0</v>
      </c>
      <c r="G158" s="140"/>
      <c r="H158" s="140"/>
      <c r="I158" s="140">
        <v>0</v>
      </c>
      <c r="J158" s="139">
        <v>0</v>
      </c>
      <c r="K158" s="139">
        <v>0</v>
      </c>
    </row>
    <row r="159" spans="1:28" ht="99.75" x14ac:dyDescent="0.2">
      <c r="A159" s="156" t="s">
        <v>162</v>
      </c>
      <c r="B159" s="156" t="s">
        <v>1686</v>
      </c>
      <c r="C159" s="155" t="s">
        <v>367</v>
      </c>
      <c r="D159" s="3">
        <v>3.85</v>
      </c>
      <c r="E159" s="141">
        <v>112.2</v>
      </c>
      <c r="F159" s="141">
        <v>0</v>
      </c>
      <c r="G159" s="140">
        <v>432</v>
      </c>
      <c r="H159" s="140">
        <v>0</v>
      </c>
      <c r="I159" s="142">
        <v>0</v>
      </c>
      <c r="J159" s="141">
        <v>0</v>
      </c>
      <c r="K159" s="141">
        <v>0</v>
      </c>
      <c r="T159">
        <v>432</v>
      </c>
      <c r="U159">
        <v>432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</row>
    <row r="160" spans="1:28" ht="14.25" x14ac:dyDescent="0.2">
      <c r="C160" s="35" t="s">
        <v>182</v>
      </c>
      <c r="D160" s="3"/>
      <c r="E160" s="139">
        <v>0</v>
      </c>
      <c r="F160" s="139">
        <v>0</v>
      </c>
      <c r="G160" s="140"/>
      <c r="H160" s="140"/>
      <c r="I160" s="140">
        <v>0</v>
      </c>
      <c r="J160" s="139">
        <v>0</v>
      </c>
      <c r="K160" s="139">
        <v>0</v>
      </c>
    </row>
    <row r="161" spans="1:28" x14ac:dyDescent="0.2">
      <c r="C161" s="36" t="s">
        <v>368</v>
      </c>
    </row>
    <row r="163" spans="1:28" ht="15" x14ac:dyDescent="0.25">
      <c r="A163" s="4"/>
      <c r="B163" s="4"/>
      <c r="C163" s="187" t="s">
        <v>369</v>
      </c>
      <c r="D163" s="187"/>
      <c r="E163" s="187"/>
      <c r="F163" s="187"/>
      <c r="G163" s="136">
        <f>IF(SUM(T110:T162)=0, "-", SUM(T110:T162))</f>
        <v>2646</v>
      </c>
      <c r="H163" s="136">
        <f>IF(SUM(V110:V162)=0, "-", SUM(V110:V162))</f>
        <v>259</v>
      </c>
      <c r="I163" s="138">
        <f>IF(SUM(W110:W162)=0, "-", SUM(W110:W162))</f>
        <v>95</v>
      </c>
      <c r="J163" s="136"/>
      <c r="K163" s="137">
        <f>IF(SUM(Y110:Y162)=0, "-", SUM(Y110:Y162))</f>
        <v>29.046799999999998</v>
      </c>
    </row>
    <row r="164" spans="1:28" ht="15" x14ac:dyDescent="0.25">
      <c r="A164" s="4"/>
      <c r="B164" s="4"/>
      <c r="C164" s="4"/>
      <c r="D164" s="4"/>
      <c r="E164" s="4"/>
      <c r="F164" s="4"/>
      <c r="G164" s="136"/>
      <c r="H164" s="136"/>
      <c r="I164" s="136">
        <f>IF(SUM(X110:X162)=0, "-", SUM(X110:X162))</f>
        <v>13</v>
      </c>
      <c r="J164" s="136"/>
      <c r="K164" s="135">
        <f>IF(SUM(Z110:Z162)=0, "-", SUM(Z110:Z162))</f>
        <v>1.1072500000000001</v>
      </c>
    </row>
    <row r="167" spans="1:28" ht="14.25" x14ac:dyDescent="0.2">
      <c r="C167" s="183" t="s">
        <v>127</v>
      </c>
      <c r="D167" s="183"/>
      <c r="E167" s="183"/>
      <c r="F167" s="183"/>
      <c r="G167" s="183"/>
      <c r="H167" s="172">
        <v>259</v>
      </c>
      <c r="I167" s="172"/>
    </row>
    <row r="168" spans="1:28" ht="14.25" x14ac:dyDescent="0.2">
      <c r="C168" s="183" t="s">
        <v>128</v>
      </c>
      <c r="D168" s="183"/>
      <c r="E168" s="183"/>
      <c r="F168" s="183"/>
      <c r="G168" s="183"/>
      <c r="H168" s="172">
        <v>95</v>
      </c>
      <c r="I168" s="172"/>
    </row>
    <row r="169" spans="1:28" ht="14.25" x14ac:dyDescent="0.2">
      <c r="C169" s="183" t="s">
        <v>129</v>
      </c>
      <c r="D169" s="183"/>
      <c r="E169" s="183"/>
      <c r="F169" s="183"/>
      <c r="G169" s="183"/>
      <c r="H169" s="172">
        <v>1886</v>
      </c>
      <c r="I169" s="172"/>
    </row>
    <row r="170" spans="1:28" ht="14.25" x14ac:dyDescent="0.2">
      <c r="C170" s="183" t="s">
        <v>130</v>
      </c>
      <c r="D170" s="183"/>
      <c r="E170" s="183"/>
      <c r="F170" s="183"/>
      <c r="G170" s="183"/>
      <c r="H170" s="172">
        <v>247</v>
      </c>
      <c r="I170" s="172"/>
    </row>
    <row r="171" spans="1:28" ht="14.25" x14ac:dyDescent="0.2">
      <c r="C171" s="183" t="s">
        <v>131</v>
      </c>
      <c r="D171" s="183"/>
      <c r="E171" s="183"/>
      <c r="F171" s="183"/>
      <c r="G171" s="183"/>
      <c r="H171" s="172">
        <v>159</v>
      </c>
      <c r="I171" s="172"/>
    </row>
    <row r="172" spans="1:28" ht="14.25" x14ac:dyDescent="0.2">
      <c r="C172" s="183" t="s">
        <v>134</v>
      </c>
      <c r="D172" s="183"/>
      <c r="E172" s="183"/>
      <c r="F172" s="183"/>
      <c r="G172" s="183"/>
      <c r="H172" s="172">
        <v>2646</v>
      </c>
      <c r="I172" s="172"/>
    </row>
    <row r="174" spans="1:28" ht="16.5" x14ac:dyDescent="0.25">
      <c r="A174" s="186" t="s">
        <v>370</v>
      </c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</row>
    <row r="175" spans="1:28" ht="105" x14ac:dyDescent="0.2">
      <c r="A175" s="156" t="s">
        <v>165</v>
      </c>
      <c r="B175" s="156" t="s">
        <v>1649</v>
      </c>
      <c r="C175" s="155" t="s">
        <v>1622</v>
      </c>
      <c r="D175" s="3">
        <v>0.7</v>
      </c>
      <c r="E175" s="141">
        <v>336.79</v>
      </c>
      <c r="F175" s="141">
        <v>21.5</v>
      </c>
      <c r="G175" s="140">
        <v>236</v>
      </c>
      <c r="H175" s="140">
        <v>151</v>
      </c>
      <c r="I175" s="142">
        <v>15</v>
      </c>
      <c r="J175" s="141">
        <v>22.424999999999997</v>
      </c>
      <c r="K175" s="141">
        <v>15.697499999999996</v>
      </c>
      <c r="T175">
        <v>524</v>
      </c>
      <c r="U175">
        <v>70</v>
      </c>
      <c r="V175">
        <v>151</v>
      </c>
      <c r="W175">
        <v>15</v>
      </c>
      <c r="X175">
        <v>4</v>
      </c>
      <c r="Y175">
        <v>15.697499999999996</v>
      </c>
      <c r="Z175">
        <v>0.28875000000000001</v>
      </c>
      <c r="AA175">
        <v>179</v>
      </c>
      <c r="AB175">
        <v>109</v>
      </c>
    </row>
    <row r="176" spans="1:28" ht="14.25" x14ac:dyDescent="0.2">
      <c r="C176" s="35" t="s">
        <v>371</v>
      </c>
      <c r="D176" s="3"/>
      <c r="E176" s="139">
        <v>215.73</v>
      </c>
      <c r="F176" s="139">
        <v>5.0999999999999996</v>
      </c>
      <c r="G176" s="140"/>
      <c r="H176" s="140"/>
      <c r="I176" s="140">
        <v>4</v>
      </c>
      <c r="J176" s="139">
        <v>0.41250000000000003</v>
      </c>
      <c r="K176" s="139">
        <v>0.28875000000000001</v>
      </c>
    </row>
    <row r="177" spans="1:28" x14ac:dyDescent="0.2">
      <c r="C177" s="36" t="s">
        <v>372</v>
      </c>
    </row>
    <row r="178" spans="1:28" x14ac:dyDescent="0.2">
      <c r="C178" s="20" t="s">
        <v>89</v>
      </c>
      <c r="D178" s="37">
        <v>128</v>
      </c>
      <c r="E178" s="144">
        <v>254.39615999999998</v>
      </c>
      <c r="F178" s="37" t="s">
        <v>330</v>
      </c>
      <c r="G178" s="143">
        <v>179</v>
      </c>
      <c r="H178" s="37" t="s">
        <v>331</v>
      </c>
      <c r="I178" s="37"/>
      <c r="J178" s="37"/>
      <c r="K178" s="37"/>
    </row>
    <row r="179" spans="1:28" x14ac:dyDescent="0.2">
      <c r="C179" s="20" t="s">
        <v>92</v>
      </c>
      <c r="D179" s="37">
        <v>83</v>
      </c>
      <c r="E179" s="144">
        <v>155.79556499999998</v>
      </c>
      <c r="F179" s="37" t="s">
        <v>332</v>
      </c>
      <c r="G179" s="143">
        <v>109</v>
      </c>
      <c r="H179" s="37" t="s">
        <v>333</v>
      </c>
      <c r="I179" s="37"/>
      <c r="J179" s="37"/>
      <c r="K179" s="37"/>
    </row>
    <row r="180" spans="1:28" x14ac:dyDescent="0.2">
      <c r="C180" s="20" t="s">
        <v>95</v>
      </c>
      <c r="D180" s="37"/>
      <c r="E180" s="144">
        <v>746.98172499999998</v>
      </c>
      <c r="F180" s="37"/>
      <c r="G180" s="143">
        <v>524</v>
      </c>
      <c r="H180" s="37"/>
      <c r="I180" s="37"/>
      <c r="J180" s="37"/>
      <c r="K180" s="37"/>
    </row>
    <row r="181" spans="1:28" ht="14.25" x14ac:dyDescent="0.2">
      <c r="A181" s="156" t="s">
        <v>553</v>
      </c>
      <c r="B181" s="156" t="s">
        <v>1146</v>
      </c>
      <c r="C181" s="155" t="s">
        <v>374</v>
      </c>
      <c r="D181" s="3">
        <v>7</v>
      </c>
      <c r="E181" s="141">
        <v>0</v>
      </c>
      <c r="F181" s="141">
        <v>0</v>
      </c>
      <c r="G181" s="140">
        <v>0</v>
      </c>
      <c r="H181" s="140">
        <v>0</v>
      </c>
      <c r="I181" s="142">
        <v>0</v>
      </c>
      <c r="J181" s="141">
        <v>0</v>
      </c>
      <c r="K181" s="14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</row>
    <row r="182" spans="1:28" ht="14.25" x14ac:dyDescent="0.2">
      <c r="C182" s="35" t="s">
        <v>153</v>
      </c>
      <c r="D182" s="3"/>
      <c r="E182" s="139">
        <v>0</v>
      </c>
      <c r="F182" s="139">
        <v>0</v>
      </c>
      <c r="G182" s="140"/>
      <c r="H182" s="140"/>
      <c r="I182" s="140">
        <v>0</v>
      </c>
      <c r="J182" s="139">
        <v>0</v>
      </c>
      <c r="K182" s="139">
        <v>0</v>
      </c>
    </row>
    <row r="183" spans="1:28" ht="99.75" x14ac:dyDescent="0.2">
      <c r="A183" s="156" t="s">
        <v>166</v>
      </c>
      <c r="B183" s="156" t="s">
        <v>1650</v>
      </c>
      <c r="C183" s="155" t="s">
        <v>1651</v>
      </c>
      <c r="D183" s="3">
        <v>7</v>
      </c>
      <c r="E183" s="141">
        <v>222.85</v>
      </c>
      <c r="F183" s="141">
        <v>0</v>
      </c>
      <c r="G183" s="140">
        <v>1560</v>
      </c>
      <c r="H183" s="140">
        <v>0</v>
      </c>
      <c r="I183" s="142">
        <v>0</v>
      </c>
      <c r="J183" s="141">
        <v>0</v>
      </c>
      <c r="K183" s="141">
        <v>0</v>
      </c>
      <c r="T183">
        <v>1560</v>
      </c>
      <c r="U183">
        <v>1560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</row>
    <row r="184" spans="1:28" ht="14.25" x14ac:dyDescent="0.2">
      <c r="C184" s="35" t="s">
        <v>153</v>
      </c>
      <c r="D184" s="3"/>
      <c r="E184" s="139">
        <v>0</v>
      </c>
      <c r="F184" s="139">
        <v>0</v>
      </c>
      <c r="G184" s="140"/>
      <c r="H184" s="140"/>
      <c r="I184" s="140">
        <v>0</v>
      </c>
      <c r="J184" s="139">
        <v>0</v>
      </c>
      <c r="K184" s="139">
        <v>0</v>
      </c>
    </row>
    <row r="185" spans="1:28" ht="99.75" x14ac:dyDescent="0.2">
      <c r="A185" s="156" t="s">
        <v>167</v>
      </c>
      <c r="B185" s="156" t="s">
        <v>1652</v>
      </c>
      <c r="C185" s="155" t="s">
        <v>375</v>
      </c>
      <c r="D185" s="3">
        <v>7</v>
      </c>
      <c r="E185" s="141">
        <v>312.35000000000002</v>
      </c>
      <c r="F185" s="141">
        <v>0</v>
      </c>
      <c r="G185" s="140">
        <v>2186</v>
      </c>
      <c r="H185" s="140">
        <v>0</v>
      </c>
      <c r="I185" s="142">
        <v>0</v>
      </c>
      <c r="J185" s="141">
        <v>0</v>
      </c>
      <c r="K185" s="141">
        <v>0</v>
      </c>
      <c r="T185">
        <v>2186</v>
      </c>
      <c r="U185">
        <v>2186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</row>
    <row r="186" spans="1:28" ht="14.25" x14ac:dyDescent="0.2">
      <c r="C186" s="35" t="s">
        <v>153</v>
      </c>
      <c r="D186" s="3"/>
      <c r="E186" s="139">
        <v>0</v>
      </c>
      <c r="F186" s="139">
        <v>0</v>
      </c>
      <c r="G186" s="140"/>
      <c r="H186" s="140"/>
      <c r="I186" s="140">
        <v>0</v>
      </c>
      <c r="J186" s="139">
        <v>0</v>
      </c>
      <c r="K186" s="139">
        <v>0</v>
      </c>
    </row>
    <row r="187" spans="1:28" ht="99.75" x14ac:dyDescent="0.2">
      <c r="A187" s="156" t="s">
        <v>168</v>
      </c>
      <c r="B187" s="156" t="s">
        <v>1653</v>
      </c>
      <c r="C187" s="155" t="s">
        <v>376</v>
      </c>
      <c r="D187" s="3">
        <v>7</v>
      </c>
      <c r="E187" s="141">
        <v>130.53</v>
      </c>
      <c r="F187" s="141">
        <v>0</v>
      </c>
      <c r="G187" s="140">
        <v>914</v>
      </c>
      <c r="H187" s="140">
        <v>0</v>
      </c>
      <c r="I187" s="142">
        <v>0</v>
      </c>
      <c r="J187" s="141">
        <v>0</v>
      </c>
      <c r="K187" s="141">
        <v>0</v>
      </c>
      <c r="T187">
        <v>914</v>
      </c>
      <c r="U187">
        <v>914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</row>
    <row r="188" spans="1:28" ht="14.25" x14ac:dyDescent="0.2">
      <c r="C188" s="35" t="s">
        <v>158</v>
      </c>
      <c r="D188" s="3"/>
      <c r="E188" s="139">
        <v>0</v>
      </c>
      <c r="F188" s="139">
        <v>0</v>
      </c>
      <c r="G188" s="140"/>
      <c r="H188" s="140"/>
      <c r="I188" s="140">
        <v>0</v>
      </c>
      <c r="J188" s="139">
        <v>0</v>
      </c>
      <c r="K188" s="139">
        <v>0</v>
      </c>
    </row>
    <row r="189" spans="1:28" ht="119.25" x14ac:dyDescent="0.2">
      <c r="A189" s="156" t="s">
        <v>170</v>
      </c>
      <c r="B189" s="156" t="s">
        <v>1654</v>
      </c>
      <c r="C189" s="155" t="s">
        <v>1621</v>
      </c>
      <c r="D189" s="3">
        <v>2</v>
      </c>
      <c r="E189" s="141">
        <v>5.1100000000000003</v>
      </c>
      <c r="F189" s="141">
        <v>0</v>
      </c>
      <c r="G189" s="140">
        <v>10</v>
      </c>
      <c r="H189" s="140">
        <v>8</v>
      </c>
      <c r="I189" s="142">
        <v>0</v>
      </c>
      <c r="J189" s="141">
        <v>0.49449999999999994</v>
      </c>
      <c r="K189" s="141">
        <v>0.98899999999999988</v>
      </c>
      <c r="T189">
        <v>25</v>
      </c>
      <c r="U189">
        <v>2</v>
      </c>
      <c r="V189">
        <v>8</v>
      </c>
      <c r="W189">
        <v>0</v>
      </c>
      <c r="X189">
        <v>0</v>
      </c>
      <c r="Y189">
        <v>0.98899999999999988</v>
      </c>
      <c r="Z189">
        <v>0</v>
      </c>
      <c r="AA189">
        <v>9</v>
      </c>
      <c r="AB189">
        <v>6</v>
      </c>
    </row>
    <row r="190" spans="1:28" ht="14.25" x14ac:dyDescent="0.2">
      <c r="C190" s="35" t="s">
        <v>158</v>
      </c>
      <c r="D190" s="3"/>
      <c r="E190" s="139">
        <v>4.22</v>
      </c>
      <c r="F190" s="139">
        <v>0</v>
      </c>
      <c r="G190" s="140"/>
      <c r="H190" s="140"/>
      <c r="I190" s="140">
        <v>0</v>
      </c>
      <c r="J190" s="139">
        <v>0</v>
      </c>
      <c r="K190" s="139">
        <v>0</v>
      </c>
    </row>
    <row r="191" spans="1:28" x14ac:dyDescent="0.2">
      <c r="C191" s="20" t="s">
        <v>89</v>
      </c>
      <c r="D191" s="37">
        <v>128</v>
      </c>
      <c r="E191" s="144">
        <v>4.86144</v>
      </c>
      <c r="F191" s="37" t="s">
        <v>330</v>
      </c>
      <c r="G191" s="143">
        <v>9</v>
      </c>
      <c r="H191" s="37" t="s">
        <v>331</v>
      </c>
      <c r="I191" s="37"/>
      <c r="J191" s="37"/>
      <c r="K191" s="37"/>
    </row>
    <row r="192" spans="1:28" x14ac:dyDescent="0.2">
      <c r="C192" s="20" t="s">
        <v>92</v>
      </c>
      <c r="D192" s="37">
        <v>83</v>
      </c>
      <c r="E192" s="144">
        <v>2.9772099999999995</v>
      </c>
      <c r="F192" s="37" t="s">
        <v>332</v>
      </c>
      <c r="G192" s="143">
        <v>6</v>
      </c>
      <c r="H192" s="37" t="s">
        <v>333</v>
      </c>
      <c r="I192" s="37"/>
      <c r="J192" s="37"/>
      <c r="K192" s="37"/>
    </row>
    <row r="193" spans="1:28" x14ac:dyDescent="0.2">
      <c r="C193" s="20" t="s">
        <v>95</v>
      </c>
      <c r="D193" s="37"/>
      <c r="E193" s="144">
        <v>12.948650000000001</v>
      </c>
      <c r="F193" s="37"/>
      <c r="G193" s="143">
        <v>25</v>
      </c>
      <c r="H193" s="37"/>
      <c r="I193" s="37"/>
      <c r="J193" s="37"/>
      <c r="K193" s="37"/>
    </row>
    <row r="194" spans="1:28" ht="14.25" x14ac:dyDescent="0.2">
      <c r="A194" s="156" t="s">
        <v>1655</v>
      </c>
      <c r="B194" s="156" t="s">
        <v>1146</v>
      </c>
      <c r="C194" s="155" t="s">
        <v>378</v>
      </c>
      <c r="D194" s="3">
        <v>3</v>
      </c>
      <c r="E194" s="141">
        <v>0</v>
      </c>
      <c r="F194" s="141">
        <v>0</v>
      </c>
      <c r="G194" s="140">
        <v>0</v>
      </c>
      <c r="H194" s="140">
        <v>0</v>
      </c>
      <c r="I194" s="142">
        <v>0</v>
      </c>
      <c r="J194" s="141">
        <v>0</v>
      </c>
      <c r="K194" s="141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</row>
    <row r="195" spans="1:28" ht="14.25" x14ac:dyDescent="0.2">
      <c r="C195" s="35" t="s">
        <v>171</v>
      </c>
      <c r="D195" s="3"/>
      <c r="E195" s="139">
        <v>0</v>
      </c>
      <c r="F195" s="139">
        <v>0</v>
      </c>
      <c r="G195" s="140"/>
      <c r="H195" s="140"/>
      <c r="I195" s="140">
        <v>0</v>
      </c>
      <c r="J195" s="139">
        <v>0</v>
      </c>
      <c r="K195" s="139">
        <v>0</v>
      </c>
    </row>
    <row r="196" spans="1:28" ht="99.75" x14ac:dyDescent="0.2">
      <c r="A196" s="156" t="s">
        <v>172</v>
      </c>
      <c r="B196" s="156" t="s">
        <v>1656</v>
      </c>
      <c r="C196" s="155" t="s">
        <v>379</v>
      </c>
      <c r="D196" s="3">
        <v>2</v>
      </c>
      <c r="E196" s="141">
        <v>1366.9</v>
      </c>
      <c r="F196" s="141">
        <v>0</v>
      </c>
      <c r="G196" s="140">
        <v>2734</v>
      </c>
      <c r="H196" s="140">
        <v>0</v>
      </c>
      <c r="I196" s="142">
        <v>0</v>
      </c>
      <c r="J196" s="141">
        <v>0</v>
      </c>
      <c r="K196" s="141">
        <v>0</v>
      </c>
      <c r="T196">
        <v>2734</v>
      </c>
      <c r="U196">
        <v>2734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</row>
    <row r="197" spans="1:28" ht="14.25" x14ac:dyDescent="0.2">
      <c r="C197" s="35" t="s">
        <v>158</v>
      </c>
      <c r="D197" s="3"/>
      <c r="E197" s="139">
        <v>0</v>
      </c>
      <c r="F197" s="139">
        <v>0</v>
      </c>
      <c r="G197" s="140"/>
      <c r="H197" s="140"/>
      <c r="I197" s="140">
        <v>0</v>
      </c>
      <c r="J197" s="139">
        <v>0</v>
      </c>
      <c r="K197" s="139">
        <v>0</v>
      </c>
    </row>
    <row r="199" spans="1:28" ht="15" x14ac:dyDescent="0.25">
      <c r="A199" s="4"/>
      <c r="B199" s="4"/>
      <c r="C199" s="187" t="s">
        <v>380</v>
      </c>
      <c r="D199" s="187"/>
      <c r="E199" s="187"/>
      <c r="F199" s="187"/>
      <c r="G199" s="136">
        <f>IF(SUM(T174:T198)=0, "-", SUM(T174:T198))</f>
        <v>7943</v>
      </c>
      <c r="H199" s="136">
        <f>IF(SUM(V174:V198)=0, "-", SUM(V174:V198))</f>
        <v>159</v>
      </c>
      <c r="I199" s="138">
        <f>IF(SUM(W174:W198)=0, "-", SUM(W174:W198))</f>
        <v>15</v>
      </c>
      <c r="J199" s="136"/>
      <c r="K199" s="137">
        <f>IF(SUM(Y174:Y198)=0, "-", SUM(Y174:Y198))</f>
        <v>16.686499999999995</v>
      </c>
    </row>
    <row r="200" spans="1:28" ht="15" x14ac:dyDescent="0.25">
      <c r="A200" s="4"/>
      <c r="B200" s="4"/>
      <c r="C200" s="4"/>
      <c r="D200" s="4"/>
      <c r="E200" s="4"/>
      <c r="F200" s="4"/>
      <c r="G200" s="136"/>
      <c r="H200" s="136"/>
      <c r="I200" s="136">
        <f>IF(SUM(X174:X198)=0, "-", SUM(X174:X198))</f>
        <v>4</v>
      </c>
      <c r="J200" s="136"/>
      <c r="K200" s="135">
        <f>IF(SUM(Z174:Z198)=0, "-", SUM(Z174:Z198))</f>
        <v>0.28875000000000001</v>
      </c>
    </row>
    <row r="203" spans="1:28" ht="14.25" x14ac:dyDescent="0.2">
      <c r="C203" s="183" t="s">
        <v>127</v>
      </c>
      <c r="D203" s="183"/>
      <c r="E203" s="183"/>
      <c r="F203" s="183"/>
      <c r="G203" s="183"/>
      <c r="H203" s="172">
        <v>159</v>
      </c>
      <c r="I203" s="172"/>
    </row>
    <row r="204" spans="1:28" ht="14.25" x14ac:dyDescent="0.2">
      <c r="C204" s="183" t="s">
        <v>128</v>
      </c>
      <c r="D204" s="183"/>
      <c r="E204" s="183"/>
      <c r="F204" s="183"/>
      <c r="G204" s="183"/>
      <c r="H204" s="172">
        <v>15</v>
      </c>
      <c r="I204" s="172"/>
    </row>
    <row r="205" spans="1:28" ht="14.25" x14ac:dyDescent="0.2">
      <c r="C205" s="183" t="s">
        <v>129</v>
      </c>
      <c r="D205" s="183"/>
      <c r="E205" s="183"/>
      <c r="F205" s="183"/>
      <c r="G205" s="183"/>
      <c r="H205" s="172">
        <v>7466</v>
      </c>
      <c r="I205" s="172"/>
    </row>
    <row r="206" spans="1:28" ht="14.25" x14ac:dyDescent="0.2">
      <c r="C206" s="183" t="s">
        <v>130</v>
      </c>
      <c r="D206" s="183"/>
      <c r="E206" s="183"/>
      <c r="F206" s="183"/>
      <c r="G206" s="183"/>
      <c r="H206" s="172">
        <v>188</v>
      </c>
      <c r="I206" s="172"/>
    </row>
    <row r="207" spans="1:28" ht="14.25" x14ac:dyDescent="0.2">
      <c r="C207" s="183" t="s">
        <v>131</v>
      </c>
      <c r="D207" s="183"/>
      <c r="E207" s="183"/>
      <c r="F207" s="183"/>
      <c r="G207" s="183"/>
      <c r="H207" s="172">
        <v>115</v>
      </c>
      <c r="I207" s="172"/>
    </row>
    <row r="208" spans="1:28" ht="14.25" x14ac:dyDescent="0.2">
      <c r="C208" s="183" t="s">
        <v>134</v>
      </c>
      <c r="D208" s="183"/>
      <c r="E208" s="183"/>
      <c r="F208" s="183"/>
      <c r="G208" s="183"/>
      <c r="H208" s="172">
        <v>7943</v>
      </c>
      <c r="I208" s="172"/>
    </row>
    <row r="210" spans="1:28" ht="16.5" x14ac:dyDescent="0.25">
      <c r="A210" s="186" t="s">
        <v>381</v>
      </c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</row>
    <row r="211" spans="1:28" ht="119.25" x14ac:dyDescent="0.2">
      <c r="A211" s="156" t="s">
        <v>174</v>
      </c>
      <c r="B211" s="156" t="s">
        <v>1628</v>
      </c>
      <c r="C211" s="155" t="s">
        <v>1620</v>
      </c>
      <c r="D211" s="3">
        <v>0.35</v>
      </c>
      <c r="E211" s="141">
        <v>686.13</v>
      </c>
      <c r="F211" s="141">
        <v>11.23</v>
      </c>
      <c r="G211" s="140">
        <v>241</v>
      </c>
      <c r="H211" s="140">
        <v>227</v>
      </c>
      <c r="I211" s="142">
        <v>4</v>
      </c>
      <c r="J211" s="141">
        <v>68.908000000000001</v>
      </c>
      <c r="K211" s="141">
        <v>24.117799999999999</v>
      </c>
      <c r="T211">
        <v>665</v>
      </c>
      <c r="U211">
        <v>10</v>
      </c>
      <c r="V211">
        <v>227</v>
      </c>
      <c r="W211">
        <v>4</v>
      </c>
      <c r="X211">
        <v>1</v>
      </c>
      <c r="Y211">
        <v>24.117799999999999</v>
      </c>
      <c r="Z211">
        <v>4.3749999999999997E-2</v>
      </c>
      <c r="AA211">
        <v>263</v>
      </c>
      <c r="AB211">
        <v>161</v>
      </c>
    </row>
    <row r="212" spans="1:28" ht="14.25" x14ac:dyDescent="0.2">
      <c r="C212" s="35" t="s">
        <v>169</v>
      </c>
      <c r="D212" s="3"/>
      <c r="E212" s="139">
        <v>647.74</v>
      </c>
      <c r="F212" s="139">
        <v>1.59</v>
      </c>
      <c r="G212" s="140"/>
      <c r="H212" s="140"/>
      <c r="I212" s="140">
        <v>1</v>
      </c>
      <c r="J212" s="139">
        <v>0.125</v>
      </c>
      <c r="K212" s="139">
        <v>4.3749999999999997E-2</v>
      </c>
    </row>
    <row r="213" spans="1:28" x14ac:dyDescent="0.2">
      <c r="C213" s="36" t="s">
        <v>382</v>
      </c>
    </row>
    <row r="214" spans="1:28" x14ac:dyDescent="0.2">
      <c r="C214" s="20" t="s">
        <v>89</v>
      </c>
      <c r="D214" s="37">
        <v>128</v>
      </c>
      <c r="E214" s="144">
        <v>748.02816000000007</v>
      </c>
      <c r="F214" s="37" t="s">
        <v>330</v>
      </c>
      <c r="G214" s="143">
        <v>263</v>
      </c>
      <c r="H214" s="37" t="s">
        <v>331</v>
      </c>
      <c r="I214" s="37"/>
      <c r="J214" s="37"/>
      <c r="K214" s="37"/>
    </row>
    <row r="215" spans="1:28" x14ac:dyDescent="0.2">
      <c r="C215" s="20" t="s">
        <v>92</v>
      </c>
      <c r="D215" s="37">
        <v>83</v>
      </c>
      <c r="E215" s="144">
        <v>458.10231500000003</v>
      </c>
      <c r="F215" s="37" t="s">
        <v>332</v>
      </c>
      <c r="G215" s="143">
        <v>161</v>
      </c>
      <c r="H215" s="37" t="s">
        <v>333</v>
      </c>
      <c r="I215" s="37"/>
      <c r="J215" s="37"/>
      <c r="K215" s="37"/>
    </row>
    <row r="216" spans="1:28" x14ac:dyDescent="0.2">
      <c r="C216" s="20" t="s">
        <v>95</v>
      </c>
      <c r="D216" s="37"/>
      <c r="E216" s="144">
        <v>1892.260475</v>
      </c>
      <c r="F216" s="37"/>
      <c r="G216" s="143">
        <v>665</v>
      </c>
      <c r="H216" s="37"/>
      <c r="I216" s="37"/>
      <c r="J216" s="37"/>
      <c r="K216" s="37"/>
    </row>
    <row r="217" spans="1:28" ht="28.5" x14ac:dyDescent="0.2">
      <c r="A217" s="156" t="s">
        <v>1189</v>
      </c>
      <c r="B217" s="156" t="s">
        <v>1146</v>
      </c>
      <c r="C217" s="155" t="s">
        <v>383</v>
      </c>
      <c r="D217" s="3">
        <v>34.93</v>
      </c>
      <c r="E217" s="141">
        <v>0</v>
      </c>
      <c r="F217" s="141">
        <v>0</v>
      </c>
      <c r="G217" s="140">
        <v>0</v>
      </c>
      <c r="H217" s="140">
        <v>0</v>
      </c>
      <c r="I217" s="142">
        <v>0</v>
      </c>
      <c r="J217" s="141">
        <v>0</v>
      </c>
      <c r="K217" s="141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</row>
    <row r="218" spans="1:28" ht="14.25" x14ac:dyDescent="0.2">
      <c r="C218" s="35" t="s">
        <v>171</v>
      </c>
      <c r="D218" s="3"/>
      <c r="E218" s="139">
        <v>0</v>
      </c>
      <c r="F218" s="139">
        <v>0</v>
      </c>
      <c r="G218" s="140"/>
      <c r="H218" s="140"/>
      <c r="I218" s="140">
        <v>0</v>
      </c>
      <c r="J218" s="139">
        <v>0</v>
      </c>
      <c r="K218" s="139">
        <v>0</v>
      </c>
    </row>
    <row r="219" spans="1:28" ht="99.75" x14ac:dyDescent="0.2">
      <c r="A219" s="156" t="s">
        <v>176</v>
      </c>
      <c r="B219" s="156" t="s">
        <v>1629</v>
      </c>
      <c r="C219" s="155" t="s">
        <v>384</v>
      </c>
      <c r="D219" s="3">
        <v>34.93</v>
      </c>
      <c r="E219" s="141">
        <v>10.38</v>
      </c>
      <c r="F219" s="141">
        <v>0</v>
      </c>
      <c r="G219" s="140">
        <v>363</v>
      </c>
      <c r="H219" s="140">
        <v>0</v>
      </c>
      <c r="I219" s="142">
        <v>0</v>
      </c>
      <c r="J219" s="141">
        <v>0</v>
      </c>
      <c r="K219" s="141">
        <v>0</v>
      </c>
      <c r="T219">
        <v>363</v>
      </c>
      <c r="U219">
        <v>363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</row>
    <row r="220" spans="1:28" ht="14.25" x14ac:dyDescent="0.2">
      <c r="C220" s="35" t="s">
        <v>171</v>
      </c>
      <c r="D220" s="3"/>
      <c r="E220" s="139">
        <v>0</v>
      </c>
      <c r="F220" s="139">
        <v>0</v>
      </c>
      <c r="G220" s="140"/>
      <c r="H220" s="140"/>
      <c r="I220" s="140">
        <v>0</v>
      </c>
      <c r="J220" s="139">
        <v>0</v>
      </c>
      <c r="K220" s="139">
        <v>0</v>
      </c>
    </row>
    <row r="221" spans="1:28" ht="99.75" x14ac:dyDescent="0.2">
      <c r="A221" s="156" t="s">
        <v>177</v>
      </c>
      <c r="B221" s="156" t="s">
        <v>1630</v>
      </c>
      <c r="C221" s="155" t="s">
        <v>1631</v>
      </c>
      <c r="D221" s="3">
        <v>4</v>
      </c>
      <c r="E221" s="141">
        <v>2.89</v>
      </c>
      <c r="F221" s="141">
        <v>0</v>
      </c>
      <c r="G221" s="140">
        <v>12</v>
      </c>
      <c r="H221" s="140">
        <v>0</v>
      </c>
      <c r="I221" s="142">
        <v>0</v>
      </c>
      <c r="J221" s="141">
        <v>0</v>
      </c>
      <c r="K221" s="141">
        <v>0</v>
      </c>
      <c r="T221">
        <v>12</v>
      </c>
      <c r="U221">
        <v>12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</row>
    <row r="222" spans="1:28" ht="14.25" x14ac:dyDescent="0.2">
      <c r="C222" s="35" t="s">
        <v>158</v>
      </c>
      <c r="D222" s="3"/>
      <c r="E222" s="139">
        <v>0</v>
      </c>
      <c r="F222" s="139">
        <v>0</v>
      </c>
      <c r="G222" s="140"/>
      <c r="H222" s="140"/>
      <c r="I222" s="140">
        <v>0</v>
      </c>
      <c r="J222" s="139">
        <v>0</v>
      </c>
      <c r="K222" s="139">
        <v>0</v>
      </c>
    </row>
    <row r="223" spans="1:28" ht="99.75" x14ac:dyDescent="0.2">
      <c r="A223" s="156" t="s">
        <v>178</v>
      </c>
      <c r="B223" s="156" t="s">
        <v>1632</v>
      </c>
      <c r="C223" s="155" t="s">
        <v>385</v>
      </c>
      <c r="D223" s="3">
        <v>13</v>
      </c>
      <c r="E223" s="141">
        <v>7.95</v>
      </c>
      <c r="F223" s="141">
        <v>0</v>
      </c>
      <c r="G223" s="140">
        <v>103</v>
      </c>
      <c r="H223" s="140">
        <v>0</v>
      </c>
      <c r="I223" s="142">
        <v>0</v>
      </c>
      <c r="J223" s="141">
        <v>0</v>
      </c>
      <c r="K223" s="141">
        <v>0</v>
      </c>
      <c r="T223">
        <v>103</v>
      </c>
      <c r="U223">
        <v>103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</row>
    <row r="224" spans="1:28" ht="14.25" x14ac:dyDescent="0.2">
      <c r="C224" s="35" t="s">
        <v>158</v>
      </c>
      <c r="D224" s="3"/>
      <c r="E224" s="139">
        <v>0</v>
      </c>
      <c r="F224" s="139">
        <v>0</v>
      </c>
      <c r="G224" s="140"/>
      <c r="H224" s="140"/>
      <c r="I224" s="140">
        <v>0</v>
      </c>
      <c r="J224" s="139">
        <v>0</v>
      </c>
      <c r="K224" s="139">
        <v>0</v>
      </c>
    </row>
    <row r="225" spans="1:28" x14ac:dyDescent="0.2">
      <c r="C225" s="36" t="s">
        <v>386</v>
      </c>
    </row>
    <row r="226" spans="1:28" ht="99.75" x14ac:dyDescent="0.2">
      <c r="A226" s="156" t="s">
        <v>179</v>
      </c>
      <c r="B226" s="156" t="s">
        <v>1633</v>
      </c>
      <c r="C226" s="155" t="s">
        <v>387</v>
      </c>
      <c r="D226" s="3">
        <v>10</v>
      </c>
      <c r="E226" s="141">
        <v>2.87</v>
      </c>
      <c r="F226" s="141">
        <v>0</v>
      </c>
      <c r="G226" s="140">
        <v>29</v>
      </c>
      <c r="H226" s="140">
        <v>0</v>
      </c>
      <c r="I226" s="142">
        <v>0</v>
      </c>
      <c r="J226" s="141">
        <v>0</v>
      </c>
      <c r="K226" s="141">
        <v>0</v>
      </c>
      <c r="T226">
        <v>29</v>
      </c>
      <c r="U226">
        <v>29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</row>
    <row r="227" spans="1:28" ht="14.25" x14ac:dyDescent="0.2">
      <c r="C227" s="35" t="s">
        <v>158</v>
      </c>
      <c r="D227" s="3"/>
      <c r="E227" s="139">
        <v>0</v>
      </c>
      <c r="F227" s="139">
        <v>0</v>
      </c>
      <c r="G227" s="140"/>
      <c r="H227" s="140"/>
      <c r="I227" s="140">
        <v>0</v>
      </c>
      <c r="J227" s="139">
        <v>0</v>
      </c>
      <c r="K227" s="139">
        <v>0</v>
      </c>
    </row>
    <row r="228" spans="1:28" ht="99.75" x14ac:dyDescent="0.2">
      <c r="A228" s="156" t="s">
        <v>181</v>
      </c>
      <c r="B228" s="156" t="s">
        <v>1634</v>
      </c>
      <c r="C228" s="155" t="s">
        <v>388</v>
      </c>
      <c r="D228" s="3">
        <v>9</v>
      </c>
      <c r="E228" s="141">
        <v>3.16</v>
      </c>
      <c r="F228" s="141">
        <v>0</v>
      </c>
      <c r="G228" s="140">
        <v>28</v>
      </c>
      <c r="H228" s="140">
        <v>0</v>
      </c>
      <c r="I228" s="142">
        <v>0</v>
      </c>
      <c r="J228" s="141">
        <v>0</v>
      </c>
      <c r="K228" s="141">
        <v>0</v>
      </c>
      <c r="T228">
        <v>28</v>
      </c>
      <c r="U228">
        <v>28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</row>
    <row r="229" spans="1:28" ht="14.25" x14ac:dyDescent="0.2">
      <c r="C229" s="35" t="s">
        <v>158</v>
      </c>
      <c r="D229" s="3"/>
      <c r="E229" s="139">
        <v>0</v>
      </c>
      <c r="F229" s="139">
        <v>0</v>
      </c>
      <c r="G229" s="140"/>
      <c r="H229" s="140"/>
      <c r="I229" s="140">
        <v>0</v>
      </c>
      <c r="J229" s="139">
        <v>0</v>
      </c>
      <c r="K229" s="139">
        <v>0</v>
      </c>
    </row>
    <row r="230" spans="1:28" ht="99.75" x14ac:dyDescent="0.2">
      <c r="A230" s="156" t="s">
        <v>183</v>
      </c>
      <c r="B230" s="156" t="s">
        <v>1635</v>
      </c>
      <c r="C230" s="155" t="s">
        <v>389</v>
      </c>
      <c r="D230" s="3">
        <v>2</v>
      </c>
      <c r="E230" s="141">
        <v>49.05</v>
      </c>
      <c r="F230" s="141">
        <v>0</v>
      </c>
      <c r="G230" s="140">
        <v>98</v>
      </c>
      <c r="H230" s="140">
        <v>0</v>
      </c>
      <c r="I230" s="142">
        <v>0</v>
      </c>
      <c r="J230" s="141">
        <v>0</v>
      </c>
      <c r="K230" s="141">
        <v>0</v>
      </c>
      <c r="T230">
        <v>98</v>
      </c>
      <c r="U230">
        <v>98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</row>
    <row r="231" spans="1:28" ht="14.25" x14ac:dyDescent="0.2">
      <c r="C231" s="35" t="s">
        <v>158</v>
      </c>
      <c r="D231" s="3"/>
      <c r="E231" s="139">
        <v>0</v>
      </c>
      <c r="F231" s="139">
        <v>0</v>
      </c>
      <c r="G231" s="140"/>
      <c r="H231" s="140"/>
      <c r="I231" s="140">
        <v>0</v>
      </c>
      <c r="J231" s="139">
        <v>0</v>
      </c>
      <c r="K231" s="139">
        <v>0</v>
      </c>
    </row>
    <row r="232" spans="1:28" ht="99.75" x14ac:dyDescent="0.2">
      <c r="A232" s="156" t="s">
        <v>185</v>
      </c>
      <c r="B232" s="156" t="s">
        <v>1636</v>
      </c>
      <c r="C232" s="155" t="s">
        <v>2073</v>
      </c>
      <c r="D232" s="3">
        <v>2</v>
      </c>
      <c r="E232" s="141">
        <v>11.53</v>
      </c>
      <c r="F232" s="141">
        <v>0</v>
      </c>
      <c r="G232" s="140">
        <v>23</v>
      </c>
      <c r="H232" s="140">
        <v>20</v>
      </c>
      <c r="I232" s="142">
        <v>0</v>
      </c>
      <c r="J232" s="141">
        <v>1.03</v>
      </c>
      <c r="K232" s="141">
        <v>2.06</v>
      </c>
      <c r="T232">
        <v>51</v>
      </c>
      <c r="U232">
        <v>3</v>
      </c>
      <c r="V232">
        <v>20</v>
      </c>
      <c r="W232">
        <v>0</v>
      </c>
      <c r="X232">
        <v>0</v>
      </c>
      <c r="Y232">
        <v>2.06</v>
      </c>
      <c r="Z232">
        <v>0</v>
      </c>
      <c r="AA232">
        <v>16</v>
      </c>
      <c r="AB232">
        <v>12</v>
      </c>
    </row>
    <row r="233" spans="1:28" ht="14.25" x14ac:dyDescent="0.2">
      <c r="C233" s="35" t="s">
        <v>158</v>
      </c>
      <c r="D233" s="3"/>
      <c r="E233" s="139">
        <v>10.220000000000001</v>
      </c>
      <c r="F233" s="139">
        <v>0</v>
      </c>
      <c r="G233" s="140"/>
      <c r="H233" s="140"/>
      <c r="I233" s="140">
        <v>0</v>
      </c>
      <c r="J233" s="139">
        <v>0</v>
      </c>
      <c r="K233" s="139">
        <v>0</v>
      </c>
    </row>
    <row r="234" spans="1:28" x14ac:dyDescent="0.2">
      <c r="C234" s="20" t="s">
        <v>89</v>
      </c>
      <c r="D234" s="37">
        <v>80</v>
      </c>
      <c r="E234" s="144">
        <v>8.1760000000000002</v>
      </c>
      <c r="F234" s="37"/>
      <c r="G234" s="143">
        <v>16</v>
      </c>
      <c r="H234" s="37" t="s">
        <v>222</v>
      </c>
      <c r="I234" s="37"/>
      <c r="J234" s="37"/>
      <c r="K234" s="37"/>
    </row>
    <row r="235" spans="1:28" x14ac:dyDescent="0.2">
      <c r="C235" s="20" t="s">
        <v>92</v>
      </c>
      <c r="D235" s="37">
        <v>60</v>
      </c>
      <c r="E235" s="144">
        <v>6.1320000000000006</v>
      </c>
      <c r="F235" s="37"/>
      <c r="G235" s="143">
        <v>12</v>
      </c>
      <c r="H235" s="37" t="s">
        <v>198</v>
      </c>
      <c r="I235" s="37"/>
      <c r="J235" s="37"/>
      <c r="K235" s="37"/>
    </row>
    <row r="236" spans="1:28" x14ac:dyDescent="0.2">
      <c r="C236" s="20" t="s">
        <v>95</v>
      </c>
      <c r="D236" s="37"/>
      <c r="E236" s="144">
        <v>25.838000000000001</v>
      </c>
      <c r="F236" s="37"/>
      <c r="G236" s="143">
        <v>51</v>
      </c>
      <c r="H236" s="37"/>
      <c r="I236" s="37"/>
      <c r="J236" s="37"/>
      <c r="K236" s="37"/>
    </row>
    <row r="237" spans="1:28" ht="99.75" x14ac:dyDescent="0.2">
      <c r="A237" s="156" t="s">
        <v>186</v>
      </c>
      <c r="B237" s="156" t="s">
        <v>1637</v>
      </c>
      <c r="C237" s="155" t="s">
        <v>391</v>
      </c>
      <c r="D237" s="3">
        <v>2</v>
      </c>
      <c r="E237" s="141">
        <v>291.58999999999997</v>
      </c>
      <c r="F237" s="141">
        <v>0</v>
      </c>
      <c r="G237" s="140">
        <v>583</v>
      </c>
      <c r="H237" s="140">
        <v>0</v>
      </c>
      <c r="I237" s="142">
        <v>0</v>
      </c>
      <c r="J237" s="141">
        <v>0</v>
      </c>
      <c r="K237" s="141">
        <v>0</v>
      </c>
      <c r="T237">
        <v>583</v>
      </c>
      <c r="U237">
        <v>583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</row>
    <row r="238" spans="1:28" ht="14.25" x14ac:dyDescent="0.2">
      <c r="C238" s="35" t="s">
        <v>158</v>
      </c>
      <c r="D238" s="3"/>
      <c r="E238" s="139">
        <v>0</v>
      </c>
      <c r="F238" s="139">
        <v>0</v>
      </c>
      <c r="G238" s="140"/>
      <c r="H238" s="140"/>
      <c r="I238" s="140">
        <v>0</v>
      </c>
      <c r="J238" s="139">
        <v>0</v>
      </c>
      <c r="K238" s="139">
        <v>0</v>
      </c>
    </row>
    <row r="239" spans="1:28" ht="85.5" x14ac:dyDescent="0.2">
      <c r="A239" s="156" t="s">
        <v>187</v>
      </c>
      <c r="B239" s="156" t="s">
        <v>1638</v>
      </c>
      <c r="C239" s="155" t="s">
        <v>1639</v>
      </c>
      <c r="D239" s="3">
        <v>0.09</v>
      </c>
      <c r="E239" s="141">
        <v>933.66</v>
      </c>
      <c r="F239" s="141">
        <v>0</v>
      </c>
      <c r="G239" s="140">
        <v>84</v>
      </c>
      <c r="H239" s="140">
        <v>84</v>
      </c>
      <c r="I239" s="142">
        <v>0</v>
      </c>
      <c r="J239" s="141">
        <v>119.7</v>
      </c>
      <c r="K239" s="141">
        <v>10.773</v>
      </c>
      <c r="T239">
        <v>192</v>
      </c>
      <c r="U239">
        <v>0</v>
      </c>
      <c r="V239">
        <v>84</v>
      </c>
      <c r="W239">
        <v>0</v>
      </c>
      <c r="X239">
        <v>0</v>
      </c>
      <c r="Y239">
        <v>10.773</v>
      </c>
      <c r="Z239">
        <v>0</v>
      </c>
      <c r="AA239">
        <v>66</v>
      </c>
      <c r="AB239">
        <v>42</v>
      </c>
    </row>
    <row r="240" spans="1:28" ht="14.25" x14ac:dyDescent="0.2">
      <c r="C240" s="35" t="s">
        <v>350</v>
      </c>
      <c r="D240" s="3"/>
      <c r="E240" s="139">
        <v>933.66</v>
      </c>
      <c r="F240" s="139">
        <v>0</v>
      </c>
      <c r="G240" s="140"/>
      <c r="H240" s="140"/>
      <c r="I240" s="140">
        <v>0</v>
      </c>
      <c r="J240" s="139">
        <v>0</v>
      </c>
      <c r="K240" s="139">
        <v>0</v>
      </c>
    </row>
    <row r="241" spans="1:28" x14ac:dyDescent="0.2">
      <c r="C241" s="36" t="s">
        <v>392</v>
      </c>
    </row>
    <row r="242" spans="1:28" x14ac:dyDescent="0.2">
      <c r="C242" s="20" t="s">
        <v>89</v>
      </c>
      <c r="D242" s="37">
        <v>78</v>
      </c>
      <c r="E242" s="144">
        <v>728.25479999999993</v>
      </c>
      <c r="F242" s="37"/>
      <c r="G242" s="143">
        <v>66</v>
      </c>
      <c r="H242" s="37" t="s">
        <v>220</v>
      </c>
      <c r="I242" s="37"/>
      <c r="J242" s="37"/>
      <c r="K242" s="37"/>
    </row>
    <row r="243" spans="1:28" x14ac:dyDescent="0.2">
      <c r="C243" s="20" t="s">
        <v>92</v>
      </c>
      <c r="D243" s="37">
        <v>50</v>
      </c>
      <c r="E243" s="144">
        <v>466.83</v>
      </c>
      <c r="F243" s="37"/>
      <c r="G243" s="143">
        <v>42</v>
      </c>
      <c r="H243" s="37" t="s">
        <v>185</v>
      </c>
      <c r="I243" s="37"/>
      <c r="J243" s="37"/>
      <c r="K243" s="37"/>
    </row>
    <row r="244" spans="1:28" x14ac:dyDescent="0.2">
      <c r="C244" s="20" t="s">
        <v>95</v>
      </c>
      <c r="D244" s="37"/>
      <c r="E244" s="144">
        <v>2128.7447999999999</v>
      </c>
      <c r="F244" s="37"/>
      <c r="G244" s="143">
        <v>192</v>
      </c>
      <c r="H244" s="37"/>
      <c r="I244" s="37"/>
      <c r="J244" s="37"/>
      <c r="K244" s="37"/>
    </row>
    <row r="245" spans="1:28" ht="14.25" x14ac:dyDescent="0.2">
      <c r="A245" s="156" t="s">
        <v>1640</v>
      </c>
      <c r="B245" s="156" t="s">
        <v>1146</v>
      </c>
      <c r="C245" s="155" t="s">
        <v>98</v>
      </c>
      <c r="D245" s="3">
        <v>1.35E-2</v>
      </c>
      <c r="E245" s="141">
        <v>0</v>
      </c>
      <c r="F245" s="141">
        <v>0</v>
      </c>
      <c r="G245" s="140">
        <v>0</v>
      </c>
      <c r="H245" s="140">
        <v>0</v>
      </c>
      <c r="I245" s="142">
        <v>0</v>
      </c>
      <c r="J245" s="141">
        <v>0</v>
      </c>
      <c r="K245" s="141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</row>
    <row r="246" spans="1:28" ht="14.25" x14ac:dyDescent="0.2">
      <c r="C246" s="35" t="s">
        <v>99</v>
      </c>
      <c r="D246" s="3"/>
      <c r="E246" s="139">
        <v>0</v>
      </c>
      <c r="F246" s="139">
        <v>0</v>
      </c>
      <c r="G246" s="140"/>
      <c r="H246" s="140"/>
      <c r="I246" s="140">
        <v>0</v>
      </c>
      <c r="J246" s="139">
        <v>0</v>
      </c>
      <c r="K246" s="139">
        <v>0</v>
      </c>
    </row>
    <row r="247" spans="1:28" ht="85.5" x14ac:dyDescent="0.2">
      <c r="A247" s="156" t="s">
        <v>189</v>
      </c>
      <c r="B247" s="156" t="s">
        <v>1641</v>
      </c>
      <c r="C247" s="155" t="s">
        <v>1642</v>
      </c>
      <c r="D247" s="3">
        <v>0.09</v>
      </c>
      <c r="E247" s="141">
        <v>1066.73</v>
      </c>
      <c r="F247" s="141">
        <v>1.56</v>
      </c>
      <c r="G247" s="140">
        <v>95</v>
      </c>
      <c r="H247" s="140">
        <v>60</v>
      </c>
      <c r="I247" s="142">
        <v>0</v>
      </c>
      <c r="J247" s="141">
        <v>78.66</v>
      </c>
      <c r="K247" s="141">
        <v>7.0793999999999997</v>
      </c>
      <c r="T247">
        <v>172</v>
      </c>
      <c r="U247">
        <v>35</v>
      </c>
      <c r="V247">
        <v>60</v>
      </c>
      <c r="W247">
        <v>0</v>
      </c>
      <c r="X247">
        <v>0</v>
      </c>
      <c r="Y247">
        <v>7.0793999999999997</v>
      </c>
      <c r="Z247">
        <v>4.4999999999999997E-3</v>
      </c>
      <c r="AA247">
        <v>47</v>
      </c>
      <c r="AB247">
        <v>30</v>
      </c>
    </row>
    <row r="248" spans="1:28" ht="14.25" x14ac:dyDescent="0.2">
      <c r="C248" s="35" t="s">
        <v>350</v>
      </c>
      <c r="D248" s="3"/>
      <c r="E248" s="139">
        <v>670.97</v>
      </c>
      <c r="F248" s="139">
        <v>0.68</v>
      </c>
      <c r="G248" s="140"/>
      <c r="H248" s="140"/>
      <c r="I248" s="140">
        <v>0</v>
      </c>
      <c r="J248" s="139">
        <v>0.05</v>
      </c>
      <c r="K248" s="139">
        <v>4.4999999999999997E-3</v>
      </c>
    </row>
    <row r="249" spans="1:28" x14ac:dyDescent="0.2">
      <c r="C249" s="36" t="s">
        <v>392</v>
      </c>
    </row>
    <row r="250" spans="1:28" x14ac:dyDescent="0.2">
      <c r="C250" s="20" t="s">
        <v>89</v>
      </c>
      <c r="D250" s="37">
        <v>78</v>
      </c>
      <c r="E250" s="144">
        <v>523.88699999999994</v>
      </c>
      <c r="F250" s="37"/>
      <c r="G250" s="143">
        <v>47</v>
      </c>
      <c r="H250" s="37" t="s">
        <v>220</v>
      </c>
      <c r="I250" s="37"/>
      <c r="J250" s="37"/>
      <c r="K250" s="37"/>
    </row>
    <row r="251" spans="1:28" x14ac:dyDescent="0.2">
      <c r="C251" s="20" t="s">
        <v>92</v>
      </c>
      <c r="D251" s="37">
        <v>50</v>
      </c>
      <c r="E251" s="144">
        <v>335.82499999999999</v>
      </c>
      <c r="F251" s="37"/>
      <c r="G251" s="143">
        <v>30</v>
      </c>
      <c r="H251" s="37" t="s">
        <v>185</v>
      </c>
      <c r="I251" s="37"/>
      <c r="J251" s="37"/>
      <c r="K251" s="37"/>
    </row>
    <row r="252" spans="1:28" x14ac:dyDescent="0.2">
      <c r="C252" s="20" t="s">
        <v>95</v>
      </c>
      <c r="D252" s="37"/>
      <c r="E252" s="144">
        <v>1926.442</v>
      </c>
      <c r="F252" s="37"/>
      <c r="G252" s="143">
        <v>172</v>
      </c>
      <c r="H252" s="37"/>
      <c r="I252" s="37"/>
      <c r="J252" s="37"/>
      <c r="K252" s="37"/>
    </row>
    <row r="253" spans="1:28" ht="119.25" x14ac:dyDescent="0.2">
      <c r="A253" s="156" t="s">
        <v>191</v>
      </c>
      <c r="B253" s="156" t="s">
        <v>1643</v>
      </c>
      <c r="C253" s="155" t="s">
        <v>1619</v>
      </c>
      <c r="D253" s="3">
        <v>0.28799999999999998</v>
      </c>
      <c r="E253" s="141">
        <v>1821.39</v>
      </c>
      <c r="F253" s="141">
        <v>0</v>
      </c>
      <c r="G253" s="140">
        <v>525</v>
      </c>
      <c r="H253" s="140">
        <v>525</v>
      </c>
      <c r="I253" s="142">
        <v>0</v>
      </c>
      <c r="J253" s="141">
        <v>217.35</v>
      </c>
      <c r="K253" s="141">
        <v>62.596799999999995</v>
      </c>
      <c r="T253">
        <v>1104</v>
      </c>
      <c r="U253">
        <v>0</v>
      </c>
      <c r="V253">
        <v>525</v>
      </c>
      <c r="W253">
        <v>0</v>
      </c>
      <c r="X253">
        <v>0</v>
      </c>
      <c r="Y253">
        <v>62.596799999999995</v>
      </c>
      <c r="Z253">
        <v>0</v>
      </c>
      <c r="AA253">
        <v>378</v>
      </c>
      <c r="AB253">
        <v>201</v>
      </c>
    </row>
    <row r="254" spans="1:28" ht="14.25" x14ac:dyDescent="0.2">
      <c r="C254" s="35" t="s">
        <v>208</v>
      </c>
      <c r="D254" s="3"/>
      <c r="E254" s="139">
        <v>1821.39</v>
      </c>
      <c r="F254" s="139">
        <v>0</v>
      </c>
      <c r="G254" s="140"/>
      <c r="H254" s="140"/>
      <c r="I254" s="140">
        <v>0</v>
      </c>
      <c r="J254" s="139">
        <v>0</v>
      </c>
      <c r="K254" s="139">
        <v>0</v>
      </c>
    </row>
    <row r="255" spans="1:28" x14ac:dyDescent="0.2">
      <c r="C255" s="36" t="s">
        <v>394</v>
      </c>
    </row>
    <row r="256" spans="1:28" x14ac:dyDescent="0.2">
      <c r="C256" s="20" t="s">
        <v>89</v>
      </c>
      <c r="D256" s="37">
        <v>80</v>
      </c>
      <c r="E256" s="144">
        <v>1311.4008000000001</v>
      </c>
      <c r="F256" s="37" t="s">
        <v>209</v>
      </c>
      <c r="G256" s="143">
        <v>378</v>
      </c>
      <c r="H256" s="37" t="s">
        <v>207</v>
      </c>
      <c r="I256" s="37"/>
      <c r="J256" s="37"/>
      <c r="K256" s="37"/>
    </row>
    <row r="257" spans="1:28" x14ac:dyDescent="0.2">
      <c r="C257" s="20" t="s">
        <v>92</v>
      </c>
      <c r="D257" s="37">
        <v>45</v>
      </c>
      <c r="E257" s="144">
        <v>696.68167500000015</v>
      </c>
      <c r="F257" s="37" t="s">
        <v>210</v>
      </c>
      <c r="G257" s="143">
        <v>201</v>
      </c>
      <c r="H257" s="37" t="s">
        <v>211</v>
      </c>
      <c r="I257" s="37"/>
      <c r="J257" s="37"/>
      <c r="K257" s="37"/>
    </row>
    <row r="258" spans="1:28" x14ac:dyDescent="0.2">
      <c r="C258" s="20" t="s">
        <v>95</v>
      </c>
      <c r="D258" s="37"/>
      <c r="E258" s="144">
        <v>3829.4724750000005</v>
      </c>
      <c r="F258" s="37"/>
      <c r="G258" s="143">
        <v>1104</v>
      </c>
      <c r="H258" s="37"/>
      <c r="I258" s="37"/>
      <c r="J258" s="37"/>
      <c r="K258" s="37"/>
    </row>
    <row r="259" spans="1:28" ht="105" x14ac:dyDescent="0.2">
      <c r="A259" s="156" t="s">
        <v>192</v>
      </c>
      <c r="B259" s="156" t="s">
        <v>1644</v>
      </c>
      <c r="C259" s="155" t="s">
        <v>1618</v>
      </c>
      <c r="D259" s="3">
        <v>0.24</v>
      </c>
      <c r="E259" s="141">
        <v>131.84</v>
      </c>
      <c r="F259" s="141">
        <v>36.01</v>
      </c>
      <c r="G259" s="140">
        <v>32</v>
      </c>
      <c r="H259" s="140">
        <v>23</v>
      </c>
      <c r="I259" s="142">
        <v>9</v>
      </c>
      <c r="J259" s="141">
        <v>11.729999999999999</v>
      </c>
      <c r="K259" s="141">
        <v>2.8151999999999995</v>
      </c>
      <c r="T259">
        <v>78</v>
      </c>
      <c r="U259">
        <v>0</v>
      </c>
      <c r="V259">
        <v>23</v>
      </c>
      <c r="W259">
        <v>9</v>
      </c>
      <c r="X259">
        <v>1</v>
      </c>
      <c r="Y259">
        <v>2.8151999999999995</v>
      </c>
      <c r="Z259">
        <v>9.6000000000000002E-2</v>
      </c>
      <c r="AA259">
        <v>28</v>
      </c>
      <c r="AB259">
        <v>18</v>
      </c>
    </row>
    <row r="260" spans="1:28" ht="14.25" x14ac:dyDescent="0.2">
      <c r="C260" s="35" t="s">
        <v>395</v>
      </c>
      <c r="D260" s="3"/>
      <c r="E260" s="139">
        <v>95.83</v>
      </c>
      <c r="F260" s="139">
        <v>4.03</v>
      </c>
      <c r="G260" s="140"/>
      <c r="H260" s="140"/>
      <c r="I260" s="140">
        <v>1</v>
      </c>
      <c r="J260" s="139">
        <v>0.4</v>
      </c>
      <c r="K260" s="139">
        <v>9.6000000000000002E-2</v>
      </c>
    </row>
    <row r="261" spans="1:28" x14ac:dyDescent="0.2">
      <c r="C261" s="36" t="s">
        <v>396</v>
      </c>
    </row>
    <row r="262" spans="1:28" x14ac:dyDescent="0.2">
      <c r="C262" s="20" t="s">
        <v>89</v>
      </c>
      <c r="D262" s="37">
        <v>130</v>
      </c>
      <c r="E262" s="144">
        <v>116.83620000000001</v>
      </c>
      <c r="F262" s="37" t="s">
        <v>121</v>
      </c>
      <c r="G262" s="143">
        <v>28</v>
      </c>
      <c r="H262" s="37" t="s">
        <v>122</v>
      </c>
      <c r="I262" s="37"/>
      <c r="J262" s="37"/>
      <c r="K262" s="37"/>
    </row>
    <row r="263" spans="1:28" x14ac:dyDescent="0.2">
      <c r="C263" s="20" t="s">
        <v>92</v>
      </c>
      <c r="D263" s="37">
        <v>89</v>
      </c>
      <c r="E263" s="144">
        <v>75.544090000000011</v>
      </c>
      <c r="F263" s="37" t="s">
        <v>348</v>
      </c>
      <c r="G263" s="143">
        <v>18</v>
      </c>
      <c r="H263" s="37" t="s">
        <v>349</v>
      </c>
      <c r="I263" s="37"/>
      <c r="J263" s="37"/>
      <c r="K263" s="37"/>
    </row>
    <row r="264" spans="1:28" x14ac:dyDescent="0.2">
      <c r="C264" s="20" t="s">
        <v>95</v>
      </c>
      <c r="D264" s="37"/>
      <c r="E264" s="144">
        <v>324.22028999999998</v>
      </c>
      <c r="F264" s="37"/>
      <c r="G264" s="143">
        <v>78</v>
      </c>
      <c r="H264" s="37"/>
      <c r="I264" s="37"/>
      <c r="J264" s="37"/>
      <c r="K264" s="37"/>
    </row>
    <row r="265" spans="1:28" ht="28.5" x14ac:dyDescent="0.2">
      <c r="A265" s="156" t="s">
        <v>193</v>
      </c>
      <c r="B265" s="156" t="s">
        <v>1146</v>
      </c>
      <c r="C265" s="155" t="s">
        <v>397</v>
      </c>
      <c r="D265" s="3">
        <v>2.6399999999999997</v>
      </c>
      <c r="E265" s="141">
        <v>0</v>
      </c>
      <c r="F265" s="141">
        <v>0</v>
      </c>
      <c r="G265" s="140">
        <v>0</v>
      </c>
      <c r="H265" s="140">
        <v>0</v>
      </c>
      <c r="I265" s="142">
        <v>0</v>
      </c>
      <c r="J265" s="141">
        <v>0</v>
      </c>
      <c r="K265" s="141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</row>
    <row r="266" spans="1:28" ht="14.25" x14ac:dyDescent="0.2">
      <c r="C266" s="35" t="s">
        <v>88</v>
      </c>
      <c r="D266" s="3"/>
      <c r="E266" s="139">
        <v>0</v>
      </c>
      <c r="F266" s="139">
        <v>0</v>
      </c>
      <c r="G266" s="140"/>
      <c r="H266" s="140"/>
      <c r="I266" s="140">
        <v>0</v>
      </c>
      <c r="J266" s="139">
        <v>0</v>
      </c>
      <c r="K266" s="139">
        <v>0</v>
      </c>
    </row>
    <row r="267" spans="1:28" ht="99.75" x14ac:dyDescent="0.2">
      <c r="A267" s="156" t="s">
        <v>194</v>
      </c>
      <c r="B267" s="156" t="s">
        <v>1645</v>
      </c>
      <c r="C267" s="155" t="s">
        <v>1646</v>
      </c>
      <c r="D267" s="3">
        <v>2.64</v>
      </c>
      <c r="E267" s="141">
        <v>59.99</v>
      </c>
      <c r="F267" s="141">
        <v>0</v>
      </c>
      <c r="G267" s="140">
        <v>158</v>
      </c>
      <c r="H267" s="140">
        <v>0</v>
      </c>
      <c r="I267" s="142">
        <v>0</v>
      </c>
      <c r="J267" s="141">
        <v>0</v>
      </c>
      <c r="K267" s="141">
        <v>0</v>
      </c>
      <c r="T267">
        <v>158</v>
      </c>
      <c r="U267">
        <v>158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</row>
    <row r="268" spans="1:28" ht="14.25" x14ac:dyDescent="0.2">
      <c r="C268" s="35" t="s">
        <v>88</v>
      </c>
      <c r="D268" s="3"/>
      <c r="E268" s="139">
        <v>0</v>
      </c>
      <c r="F268" s="139">
        <v>0</v>
      </c>
      <c r="G268" s="140"/>
      <c r="H268" s="140"/>
      <c r="I268" s="140">
        <v>0</v>
      </c>
      <c r="J268" s="139">
        <v>0</v>
      </c>
      <c r="K268" s="139">
        <v>0</v>
      </c>
    </row>
    <row r="269" spans="1:28" ht="119.25" x14ac:dyDescent="0.2">
      <c r="A269" s="156" t="s">
        <v>195</v>
      </c>
      <c r="B269" s="156" t="s">
        <v>1647</v>
      </c>
      <c r="C269" s="155" t="s">
        <v>1617</v>
      </c>
      <c r="D269" s="3">
        <v>1.6E-2</v>
      </c>
      <c r="E269" s="141">
        <v>5003.1099999999997</v>
      </c>
      <c r="F269" s="141">
        <v>2853.07</v>
      </c>
      <c r="G269" s="140">
        <v>80</v>
      </c>
      <c r="H269" s="140">
        <v>34</v>
      </c>
      <c r="I269" s="142">
        <v>46</v>
      </c>
      <c r="J269" s="141">
        <v>230.78199999999998</v>
      </c>
      <c r="K269" s="141">
        <v>3.6925119999999998</v>
      </c>
      <c r="T269">
        <v>157</v>
      </c>
      <c r="U269">
        <v>0</v>
      </c>
      <c r="V269">
        <v>34</v>
      </c>
      <c r="W269">
        <v>46</v>
      </c>
      <c r="X269">
        <v>6</v>
      </c>
      <c r="Y269">
        <v>3.6925119999999998</v>
      </c>
      <c r="Z269">
        <v>0.42799999999999999</v>
      </c>
      <c r="AA269">
        <v>47</v>
      </c>
      <c r="AB269">
        <v>30</v>
      </c>
    </row>
    <row r="270" spans="1:28" ht="14.25" x14ac:dyDescent="0.2">
      <c r="C270" s="35" t="s">
        <v>398</v>
      </c>
      <c r="D270" s="3"/>
      <c r="E270" s="139">
        <v>2143.9699999999998</v>
      </c>
      <c r="F270" s="139">
        <v>358.69</v>
      </c>
      <c r="G270" s="140"/>
      <c r="H270" s="140"/>
      <c r="I270" s="140">
        <v>6</v>
      </c>
      <c r="J270" s="139">
        <v>26.75</v>
      </c>
      <c r="K270" s="139">
        <v>0.42799999999999999</v>
      </c>
    </row>
    <row r="271" spans="1:28" x14ac:dyDescent="0.2">
      <c r="C271" s="36" t="s">
        <v>399</v>
      </c>
    </row>
    <row r="272" spans="1:28" x14ac:dyDescent="0.2">
      <c r="C272" s="20" t="s">
        <v>89</v>
      </c>
      <c r="D272" s="37">
        <v>130</v>
      </c>
      <c r="E272" s="144">
        <v>2928.1121999999996</v>
      </c>
      <c r="F272" s="37" t="s">
        <v>121</v>
      </c>
      <c r="G272" s="143">
        <v>47</v>
      </c>
      <c r="H272" s="37" t="s">
        <v>122</v>
      </c>
      <c r="I272" s="37"/>
      <c r="J272" s="37"/>
      <c r="K272" s="37"/>
    </row>
    <row r="273" spans="1:28" x14ac:dyDescent="0.2">
      <c r="C273" s="20" t="s">
        <v>92</v>
      </c>
      <c r="D273" s="37">
        <v>89</v>
      </c>
      <c r="E273" s="144">
        <v>1893.2622899999999</v>
      </c>
      <c r="F273" s="37" t="s">
        <v>348</v>
      </c>
      <c r="G273" s="143">
        <v>30</v>
      </c>
      <c r="H273" s="37" t="s">
        <v>349</v>
      </c>
      <c r="I273" s="37"/>
      <c r="J273" s="37"/>
      <c r="K273" s="37"/>
    </row>
    <row r="274" spans="1:28" x14ac:dyDescent="0.2">
      <c r="C274" s="20" t="s">
        <v>95</v>
      </c>
      <c r="D274" s="37"/>
      <c r="E274" s="144">
        <v>9824.4844899999989</v>
      </c>
      <c r="F274" s="37"/>
      <c r="G274" s="143">
        <v>157</v>
      </c>
      <c r="H274" s="37"/>
      <c r="I274" s="37"/>
      <c r="J274" s="37"/>
      <c r="K274" s="37"/>
    </row>
    <row r="275" spans="1:28" ht="14.25" x14ac:dyDescent="0.2">
      <c r="A275" s="156" t="s">
        <v>1216</v>
      </c>
      <c r="B275" s="156" t="s">
        <v>1146</v>
      </c>
      <c r="C275" s="155" t="s">
        <v>378</v>
      </c>
      <c r="D275" s="3">
        <v>16.112000000000002</v>
      </c>
      <c r="E275" s="141">
        <v>0</v>
      </c>
      <c r="F275" s="141">
        <v>0</v>
      </c>
      <c r="G275" s="140">
        <v>0</v>
      </c>
      <c r="H275" s="140">
        <v>0</v>
      </c>
      <c r="I275" s="142">
        <v>0</v>
      </c>
      <c r="J275" s="141">
        <v>0</v>
      </c>
      <c r="K275" s="141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</row>
    <row r="276" spans="1:28" ht="14.25" x14ac:dyDescent="0.2">
      <c r="C276" s="35" t="s">
        <v>171</v>
      </c>
      <c r="D276" s="3"/>
      <c r="E276" s="139">
        <v>0</v>
      </c>
      <c r="F276" s="139">
        <v>0</v>
      </c>
      <c r="G276" s="140"/>
      <c r="H276" s="140"/>
      <c r="I276" s="140">
        <v>0</v>
      </c>
      <c r="J276" s="139">
        <v>0</v>
      </c>
      <c r="K276" s="139">
        <v>0</v>
      </c>
    </row>
    <row r="277" spans="1:28" ht="99.75" x14ac:dyDescent="0.2">
      <c r="A277" s="156" t="s">
        <v>196</v>
      </c>
      <c r="B277" s="156" t="s">
        <v>1629</v>
      </c>
      <c r="C277" s="155" t="s">
        <v>384</v>
      </c>
      <c r="D277" s="3">
        <v>16.111999999999998</v>
      </c>
      <c r="E277" s="141">
        <v>10.38</v>
      </c>
      <c r="F277" s="141">
        <v>0</v>
      </c>
      <c r="G277" s="140">
        <v>167</v>
      </c>
      <c r="H277" s="140">
        <v>0</v>
      </c>
      <c r="I277" s="142">
        <v>0</v>
      </c>
      <c r="J277" s="141">
        <v>0</v>
      </c>
      <c r="K277" s="141">
        <v>0</v>
      </c>
      <c r="T277">
        <v>167</v>
      </c>
      <c r="U277">
        <v>167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</row>
    <row r="278" spans="1:28" ht="14.25" x14ac:dyDescent="0.2">
      <c r="C278" s="35" t="s">
        <v>171</v>
      </c>
      <c r="D278" s="3"/>
      <c r="E278" s="139">
        <v>0</v>
      </c>
      <c r="F278" s="139">
        <v>0</v>
      </c>
      <c r="G278" s="140"/>
      <c r="H278" s="140"/>
      <c r="I278" s="140">
        <v>0</v>
      </c>
      <c r="J278" s="139">
        <v>0</v>
      </c>
      <c r="K278" s="139">
        <v>0</v>
      </c>
    </row>
    <row r="279" spans="1:28" ht="105" x14ac:dyDescent="0.2">
      <c r="A279" s="156" t="s">
        <v>197</v>
      </c>
      <c r="B279" s="156" t="s">
        <v>1648</v>
      </c>
      <c r="C279" s="155" t="s">
        <v>1616</v>
      </c>
      <c r="D279" s="3">
        <v>0.26400000000000001</v>
      </c>
      <c r="E279" s="141">
        <v>838.35</v>
      </c>
      <c r="F279" s="141">
        <v>0</v>
      </c>
      <c r="G279" s="140">
        <v>221</v>
      </c>
      <c r="H279" s="140">
        <v>221</v>
      </c>
      <c r="I279" s="142">
        <v>0</v>
      </c>
      <c r="J279" s="141">
        <v>111.78</v>
      </c>
      <c r="K279" s="141">
        <v>29.509920000000001</v>
      </c>
      <c r="T279">
        <v>465</v>
      </c>
      <c r="U279">
        <v>0</v>
      </c>
      <c r="V279">
        <v>221</v>
      </c>
      <c r="W279">
        <v>0</v>
      </c>
      <c r="X279">
        <v>0</v>
      </c>
      <c r="Y279">
        <v>29.509920000000001</v>
      </c>
      <c r="Z279">
        <v>0</v>
      </c>
      <c r="AA279">
        <v>159</v>
      </c>
      <c r="AB279">
        <v>85</v>
      </c>
    </row>
    <row r="280" spans="1:28" ht="14.25" x14ac:dyDescent="0.2">
      <c r="C280" s="35" t="s">
        <v>208</v>
      </c>
      <c r="D280" s="3"/>
      <c r="E280" s="139">
        <v>838.35</v>
      </c>
      <c r="F280" s="139">
        <v>0</v>
      </c>
      <c r="G280" s="140"/>
      <c r="H280" s="140"/>
      <c r="I280" s="140">
        <v>0</v>
      </c>
      <c r="J280" s="139">
        <v>0</v>
      </c>
      <c r="K280" s="139">
        <v>0</v>
      </c>
    </row>
    <row r="281" spans="1:28" x14ac:dyDescent="0.2">
      <c r="C281" s="36" t="s">
        <v>400</v>
      </c>
    </row>
    <row r="282" spans="1:28" x14ac:dyDescent="0.2">
      <c r="C282" s="20" t="s">
        <v>89</v>
      </c>
      <c r="D282" s="37">
        <v>80</v>
      </c>
      <c r="E282" s="144">
        <v>603.61200000000008</v>
      </c>
      <c r="F282" s="37" t="s">
        <v>209</v>
      </c>
      <c r="G282" s="143">
        <v>159</v>
      </c>
      <c r="H282" s="37" t="s">
        <v>207</v>
      </c>
      <c r="I282" s="37"/>
      <c r="J282" s="37"/>
      <c r="K282" s="37"/>
    </row>
    <row r="283" spans="1:28" x14ac:dyDescent="0.2">
      <c r="C283" s="20" t="s">
        <v>92</v>
      </c>
      <c r="D283" s="37">
        <v>45</v>
      </c>
      <c r="E283" s="144">
        <v>320.66887500000001</v>
      </c>
      <c r="F283" s="37" t="s">
        <v>210</v>
      </c>
      <c r="G283" s="143">
        <v>85</v>
      </c>
      <c r="H283" s="37" t="s">
        <v>211</v>
      </c>
      <c r="I283" s="37"/>
      <c r="J283" s="37"/>
      <c r="K283" s="37"/>
    </row>
    <row r="284" spans="1:28" x14ac:dyDescent="0.2">
      <c r="C284" s="20" t="s">
        <v>95</v>
      </c>
      <c r="D284" s="37"/>
      <c r="E284" s="144">
        <v>1762.6308750000003</v>
      </c>
      <c r="F284" s="37"/>
      <c r="G284" s="143">
        <v>465</v>
      </c>
      <c r="H284" s="37"/>
      <c r="I284" s="37"/>
      <c r="J284" s="37"/>
      <c r="K284" s="37"/>
    </row>
    <row r="286" spans="1:28" ht="15" x14ac:dyDescent="0.25">
      <c r="A286" s="4"/>
      <c r="B286" s="4"/>
      <c r="C286" s="187" t="s">
        <v>401</v>
      </c>
      <c r="D286" s="187"/>
      <c r="E286" s="187"/>
      <c r="F286" s="187"/>
      <c r="G286" s="136">
        <f>IF(SUM(T210:T285)=0, "-", SUM(T210:T285))</f>
        <v>4425</v>
      </c>
      <c r="H286" s="136">
        <f>IF(SUM(V210:V285)=0, "-", SUM(V210:V285))</f>
        <v>1194</v>
      </c>
      <c r="I286" s="138">
        <f>IF(SUM(W210:W285)=0, "-", SUM(W210:W285))</f>
        <v>59</v>
      </c>
      <c r="J286" s="136"/>
      <c r="K286" s="137">
        <f>IF(SUM(Y210:Y285)=0, "-", SUM(Y210:Y285))</f>
        <v>142.644632</v>
      </c>
    </row>
    <row r="287" spans="1:28" ht="15" x14ac:dyDescent="0.25">
      <c r="A287" s="4"/>
      <c r="B287" s="4"/>
      <c r="C287" s="4"/>
      <c r="D287" s="4"/>
      <c r="E287" s="4"/>
      <c r="F287" s="4"/>
      <c r="G287" s="136"/>
      <c r="H287" s="136"/>
      <c r="I287" s="136">
        <f>IF(SUM(X210:X285)=0, "-", SUM(X210:X285))</f>
        <v>8</v>
      </c>
      <c r="J287" s="136"/>
      <c r="K287" s="135">
        <f>IF(SUM(Z210:Z285)=0, "-", SUM(Z210:Z285))</f>
        <v>0.57224999999999993</v>
      </c>
    </row>
    <row r="290" spans="1:33" ht="14.25" x14ac:dyDescent="0.2">
      <c r="C290" s="183" t="s">
        <v>127</v>
      </c>
      <c r="D290" s="183"/>
      <c r="E290" s="183"/>
      <c r="F290" s="183"/>
      <c r="G290" s="183"/>
      <c r="H290" s="172">
        <v>1194</v>
      </c>
      <c r="I290" s="172"/>
    </row>
    <row r="291" spans="1:33" ht="14.25" x14ac:dyDescent="0.2">
      <c r="C291" s="183" t="s">
        <v>128</v>
      </c>
      <c r="D291" s="183"/>
      <c r="E291" s="183"/>
      <c r="F291" s="183"/>
      <c r="G291" s="183"/>
      <c r="H291" s="172">
        <v>59</v>
      </c>
      <c r="I291" s="172"/>
    </row>
    <row r="292" spans="1:33" ht="14.25" x14ac:dyDescent="0.2">
      <c r="C292" s="183" t="s">
        <v>129</v>
      </c>
      <c r="D292" s="183"/>
      <c r="E292" s="183"/>
      <c r="F292" s="183"/>
      <c r="G292" s="183"/>
      <c r="H292" s="172">
        <v>1589</v>
      </c>
      <c r="I292" s="172"/>
    </row>
    <row r="293" spans="1:33" ht="14.25" x14ac:dyDescent="0.2">
      <c r="C293" s="183" t="s">
        <v>130</v>
      </c>
      <c r="D293" s="183"/>
      <c r="E293" s="183"/>
      <c r="F293" s="183"/>
      <c r="G293" s="183"/>
      <c r="H293" s="172">
        <v>1004</v>
      </c>
      <c r="I293" s="172"/>
    </row>
    <row r="294" spans="1:33" ht="14.25" x14ac:dyDescent="0.2">
      <c r="C294" s="183" t="s">
        <v>131</v>
      </c>
      <c r="D294" s="183"/>
      <c r="E294" s="183"/>
      <c r="F294" s="183"/>
      <c r="G294" s="183"/>
      <c r="H294" s="172">
        <v>579</v>
      </c>
      <c r="I294" s="172"/>
    </row>
    <row r="295" spans="1:33" ht="14.25" x14ac:dyDescent="0.2">
      <c r="C295" s="183" t="s">
        <v>134</v>
      </c>
      <c r="D295" s="183"/>
      <c r="E295" s="183"/>
      <c r="F295" s="183"/>
      <c r="G295" s="183"/>
      <c r="H295" s="172">
        <v>4425</v>
      </c>
      <c r="I295" s="172"/>
    </row>
    <row r="297" spans="1:33" ht="15" x14ac:dyDescent="0.25">
      <c r="A297" s="4"/>
      <c r="B297" s="4"/>
      <c r="C297" s="187" t="s">
        <v>402</v>
      </c>
      <c r="D297" s="187"/>
      <c r="E297" s="187"/>
      <c r="F297" s="187"/>
      <c r="G297" s="136">
        <f>IF(SUM(T23:T296)=0, "-", SUM(T23:T296))</f>
        <v>17799</v>
      </c>
      <c r="H297" s="136">
        <f>IF(SUM(V23:V296)=0, "-", SUM(V23:V296))</f>
        <v>1826</v>
      </c>
      <c r="I297" s="138">
        <f>IF(SUM(W23:W296)=0, "-", SUM(W23:W296))</f>
        <v>234</v>
      </c>
      <c r="J297" s="136"/>
      <c r="K297" s="137">
        <f>IF(SUM(Y23:Y296)=0, "-", SUM(Y23:Y296))</f>
        <v>212.28131199999999</v>
      </c>
      <c r="AG297" s="159" t="s">
        <v>402</v>
      </c>
    </row>
    <row r="298" spans="1:33" ht="15" x14ac:dyDescent="0.25">
      <c r="A298" s="4"/>
      <c r="B298" s="4"/>
      <c r="C298" s="4"/>
      <c r="D298" s="4"/>
      <c r="E298" s="4"/>
      <c r="F298" s="4"/>
      <c r="G298" s="136"/>
      <c r="H298" s="136"/>
      <c r="I298" s="136">
        <f>IF(SUM(X23:X296)=0, "-", SUM(X23:X296))</f>
        <v>31</v>
      </c>
      <c r="J298" s="136"/>
      <c r="K298" s="135">
        <f>IF(SUM(Z23:Z296)=0, "-", SUM(Z23:Z296))</f>
        <v>2.5027499999999998</v>
      </c>
    </row>
    <row r="301" spans="1:33" ht="14.25" x14ac:dyDescent="0.2">
      <c r="C301" s="183" t="s">
        <v>127</v>
      </c>
      <c r="D301" s="183"/>
      <c r="E301" s="183"/>
      <c r="F301" s="183"/>
      <c r="G301" s="183"/>
      <c r="H301" s="172">
        <v>1826</v>
      </c>
      <c r="I301" s="172"/>
    </row>
    <row r="302" spans="1:33" ht="14.25" x14ac:dyDescent="0.2">
      <c r="C302" s="183" t="s">
        <v>128</v>
      </c>
      <c r="D302" s="183"/>
      <c r="E302" s="183"/>
      <c r="F302" s="183"/>
      <c r="G302" s="183"/>
      <c r="H302" s="172">
        <v>234</v>
      </c>
      <c r="I302" s="172"/>
    </row>
    <row r="303" spans="1:33" ht="14.25" x14ac:dyDescent="0.2">
      <c r="C303" s="183" t="s">
        <v>129</v>
      </c>
      <c r="D303" s="183"/>
      <c r="E303" s="183"/>
      <c r="F303" s="183"/>
      <c r="G303" s="183"/>
      <c r="H303" s="172">
        <v>13102</v>
      </c>
      <c r="I303" s="172"/>
    </row>
    <row r="304" spans="1:33" ht="14.25" x14ac:dyDescent="0.2">
      <c r="C304" s="183" t="s">
        <v>130</v>
      </c>
      <c r="D304" s="183"/>
      <c r="E304" s="183"/>
      <c r="F304" s="183"/>
      <c r="G304" s="183"/>
      <c r="H304" s="172">
        <v>1650</v>
      </c>
      <c r="I304" s="172"/>
    </row>
    <row r="305" spans="1:11" ht="14.25" x14ac:dyDescent="0.2">
      <c r="C305" s="183" t="s">
        <v>131</v>
      </c>
      <c r="D305" s="183"/>
      <c r="E305" s="183"/>
      <c r="F305" s="183"/>
      <c r="G305" s="183"/>
      <c r="H305" s="172">
        <v>987</v>
      </c>
      <c r="I305" s="172"/>
    </row>
    <row r="306" spans="1:11" ht="14.25" x14ac:dyDescent="0.2">
      <c r="C306" s="183" t="s">
        <v>134</v>
      </c>
      <c r="D306" s="183"/>
      <c r="E306" s="183"/>
      <c r="F306" s="183"/>
      <c r="G306" s="183"/>
      <c r="H306" s="172">
        <v>17799</v>
      </c>
      <c r="I306" s="172"/>
    </row>
    <row r="308" spans="1:11" ht="14.25" x14ac:dyDescent="0.2">
      <c r="A308" s="173" t="s">
        <v>315</v>
      </c>
      <c r="B308" s="173"/>
      <c r="C308" s="158" t="s">
        <v>316</v>
      </c>
      <c r="D308" s="31"/>
      <c r="E308" s="31"/>
      <c r="F308" s="31"/>
      <c r="G308" s="31"/>
      <c r="H308" s="31"/>
      <c r="I308" s="157" t="s">
        <v>317</v>
      </c>
      <c r="J308" s="3"/>
      <c r="K308" s="3"/>
    </row>
    <row r="309" spans="1:11" ht="14.25" x14ac:dyDescent="0.2">
      <c r="A309" s="3"/>
      <c r="B309" s="3"/>
      <c r="C309" s="189" t="s">
        <v>318</v>
      </c>
      <c r="D309" s="189"/>
      <c r="E309" s="189"/>
      <c r="F309" s="189"/>
      <c r="G309" s="189"/>
      <c r="H309" s="189"/>
      <c r="I309" s="3"/>
      <c r="J309" s="3"/>
      <c r="K309" s="3"/>
    </row>
    <row r="310" spans="1:11" ht="14.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4.25" x14ac:dyDescent="0.2">
      <c r="A311" s="173" t="s">
        <v>319</v>
      </c>
      <c r="B311" s="173"/>
      <c r="C311" s="158" t="s">
        <v>320</v>
      </c>
      <c r="D311" s="31"/>
      <c r="E311" s="31"/>
      <c r="F311" s="31"/>
      <c r="G311" s="31"/>
      <c r="H311" s="31"/>
      <c r="I311" s="157" t="s">
        <v>321</v>
      </c>
      <c r="J311" s="3"/>
      <c r="K311" s="3"/>
    </row>
    <row r="312" spans="1:11" ht="14.25" x14ac:dyDescent="0.2">
      <c r="A312" s="3"/>
      <c r="B312" s="3"/>
      <c r="C312" s="189" t="s">
        <v>318</v>
      </c>
      <c r="D312" s="189"/>
      <c r="E312" s="189"/>
      <c r="F312" s="189"/>
      <c r="G312" s="189"/>
      <c r="H312" s="189"/>
      <c r="I312" s="3"/>
      <c r="J312" s="3"/>
      <c r="K312" s="3"/>
    </row>
  </sheetData>
  <mergeCells count="94">
    <mergeCell ref="A3:B3"/>
    <mergeCell ref="C3:K3"/>
    <mergeCell ref="A6:K6"/>
    <mergeCell ref="A5:K5"/>
    <mergeCell ref="C168:G168"/>
    <mergeCell ref="H168:I168"/>
    <mergeCell ref="A10:E15"/>
    <mergeCell ref="F10:H10"/>
    <mergeCell ref="I10:J10"/>
    <mergeCell ref="F14:H14"/>
    <mergeCell ref="I14:J14"/>
    <mergeCell ref="F15:H15"/>
    <mergeCell ref="I15:J15"/>
    <mergeCell ref="A23:K23"/>
    <mergeCell ref="A110:K110"/>
    <mergeCell ref="C163:F163"/>
    <mergeCell ref="C167:G167"/>
    <mergeCell ref="H167:I167"/>
    <mergeCell ref="G16:I16"/>
    <mergeCell ref="J16:K18"/>
    <mergeCell ref="E17:E18"/>
    <mergeCell ref="F17:F18"/>
    <mergeCell ref="G17:G20"/>
    <mergeCell ref="H17:H20"/>
    <mergeCell ref="I17:I18"/>
    <mergeCell ref="E19:E20"/>
    <mergeCell ref="F19:F20"/>
    <mergeCell ref="I19:I20"/>
    <mergeCell ref="J19:K19"/>
    <mergeCell ref="A16:A20"/>
    <mergeCell ref="B16:B20"/>
    <mergeCell ref="C16:C20"/>
    <mergeCell ref="D16:D20"/>
    <mergeCell ref="E16:F16"/>
    <mergeCell ref="C286:F286"/>
    <mergeCell ref="C169:G169"/>
    <mergeCell ref="H169:I169"/>
    <mergeCell ref="C170:G170"/>
    <mergeCell ref="H170:I170"/>
    <mergeCell ref="C171:G171"/>
    <mergeCell ref="H171:I171"/>
    <mergeCell ref="C172:G172"/>
    <mergeCell ref="H172:I172"/>
    <mergeCell ref="A174:K174"/>
    <mergeCell ref="C199:F199"/>
    <mergeCell ref="C203:G203"/>
    <mergeCell ref="H203:I203"/>
    <mergeCell ref="C207:G207"/>
    <mergeCell ref="H207:I207"/>
    <mergeCell ref="C208:G208"/>
    <mergeCell ref="H208:I208"/>
    <mergeCell ref="A210:K210"/>
    <mergeCell ref="C204:G204"/>
    <mergeCell ref="H204:I204"/>
    <mergeCell ref="C205:G205"/>
    <mergeCell ref="H205:I205"/>
    <mergeCell ref="C206:G206"/>
    <mergeCell ref="H206:I206"/>
    <mergeCell ref="C293:G293"/>
    <mergeCell ref="H293:I293"/>
    <mergeCell ref="C294:G294"/>
    <mergeCell ref="H294:I294"/>
    <mergeCell ref="C295:G295"/>
    <mergeCell ref="H295:I295"/>
    <mergeCell ref="C290:G290"/>
    <mergeCell ref="H290:I290"/>
    <mergeCell ref="C291:G291"/>
    <mergeCell ref="H291:I291"/>
    <mergeCell ref="C292:G292"/>
    <mergeCell ref="H292:I292"/>
    <mergeCell ref="H305:I305"/>
    <mergeCell ref="C306:G306"/>
    <mergeCell ref="H306:I306"/>
    <mergeCell ref="C297:F297"/>
    <mergeCell ref="C301:G301"/>
    <mergeCell ref="H301:I301"/>
    <mergeCell ref="C302:G302"/>
    <mergeCell ref="H302:I302"/>
    <mergeCell ref="A8:K8"/>
    <mergeCell ref="C304:G304"/>
    <mergeCell ref="C309:H309"/>
    <mergeCell ref="A311:B311"/>
    <mergeCell ref="C312:H312"/>
    <mergeCell ref="F11:H11"/>
    <mergeCell ref="F12:H12"/>
    <mergeCell ref="F13:H13"/>
    <mergeCell ref="C303:G303"/>
    <mergeCell ref="H303:I303"/>
    <mergeCell ref="I11:J11"/>
    <mergeCell ref="I12:J12"/>
    <mergeCell ref="I13:J13"/>
    <mergeCell ref="A308:B308"/>
    <mergeCell ref="H304:I304"/>
    <mergeCell ref="C305:G305"/>
  </mergeCells>
  <pageMargins left="0.4" right="0.2" top="0.2" bottom="0.4" header="0.2" footer="0.2"/>
  <pageSetup paperSize="9" scale="60" fitToHeight="0" orientation="portrait" r:id="rId1"/>
  <headerFooter>
    <oddHeader>&amp;L&amp;8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91"/>
  <sheetViews>
    <sheetView workbookViewId="0">
      <selection activeCell="B50" sqref="B50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29" width="0" hidden="1" customWidth="1"/>
    <col min="30" max="30" width="136.7109375" hidden="1" customWidth="1"/>
    <col min="31" max="37" width="0" hidden="1" customWidth="1"/>
  </cols>
  <sheetData>
    <row r="1" spans="1:30" x14ac:dyDescent="0.2">
      <c r="A1" s="2" t="s">
        <v>61</v>
      </c>
      <c r="K1" s="2" t="s">
        <v>62</v>
      </c>
    </row>
    <row r="2" spans="1:30" ht="14.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30" ht="31.5" x14ac:dyDescent="0.25">
      <c r="A3" s="177" t="s">
        <v>63</v>
      </c>
      <c r="B3" s="177"/>
      <c r="C3" s="178" t="s">
        <v>64</v>
      </c>
      <c r="D3" s="178"/>
      <c r="E3" s="178"/>
      <c r="F3" s="178"/>
      <c r="G3" s="178"/>
      <c r="H3" s="178"/>
      <c r="I3" s="178"/>
      <c r="J3" s="178"/>
      <c r="K3" s="178"/>
      <c r="L3" s="3"/>
      <c r="M3" s="3"/>
      <c r="AD3" s="32" t="s">
        <v>64</v>
      </c>
    </row>
    <row r="4" spans="1:30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"/>
      <c r="M4" s="3"/>
    </row>
    <row r="5" spans="1:30" ht="18" x14ac:dyDescent="0.25">
      <c r="A5" s="179" t="s">
        <v>403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3"/>
      <c r="M5" s="3"/>
    </row>
    <row r="6" spans="1:30" ht="18" x14ac:dyDescent="0.25">
      <c r="A6" s="180" t="s">
        <v>1691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3"/>
      <c r="M6" s="3"/>
    </row>
    <row r="7" spans="1:30" ht="14.25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"/>
      <c r="M7" s="3"/>
    </row>
    <row r="8" spans="1:30" ht="14.25" x14ac:dyDescent="0.2">
      <c r="A8" s="183" t="s">
        <v>405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3"/>
      <c r="M8" s="3"/>
    </row>
    <row r="9" spans="1:30" ht="14.25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"/>
      <c r="M9" s="3"/>
    </row>
    <row r="10" spans="1:30" ht="14.25" x14ac:dyDescent="0.2">
      <c r="A10" s="184" t="s">
        <v>67</v>
      </c>
      <c r="B10" s="184"/>
      <c r="C10" s="184"/>
      <c r="D10" s="184"/>
      <c r="E10" s="184"/>
      <c r="F10" s="171" t="s">
        <v>68</v>
      </c>
      <c r="G10" s="171"/>
      <c r="H10" s="171"/>
      <c r="I10" s="172">
        <v>140.52000000000001</v>
      </c>
      <c r="J10" s="173"/>
      <c r="K10" s="150" t="s">
        <v>69</v>
      </c>
      <c r="L10" s="3"/>
      <c r="M10" s="3"/>
    </row>
    <row r="11" spans="1:30" ht="14.25" x14ac:dyDescent="0.2">
      <c r="A11" s="184"/>
      <c r="B11" s="184"/>
      <c r="C11" s="184"/>
      <c r="D11" s="184"/>
      <c r="E11" s="184"/>
      <c r="F11" s="171" t="s">
        <v>326</v>
      </c>
      <c r="G11" s="171"/>
      <c r="H11" s="171"/>
      <c r="I11" s="172">
        <v>6.86</v>
      </c>
      <c r="J11" s="173"/>
      <c r="K11" s="150" t="s">
        <v>69</v>
      </c>
      <c r="L11" s="3"/>
      <c r="M11" s="3"/>
    </row>
    <row r="12" spans="1:30" ht="14.25" x14ac:dyDescent="0.2">
      <c r="A12" s="184"/>
      <c r="B12" s="184"/>
      <c r="C12" s="184"/>
      <c r="D12" s="184"/>
      <c r="E12" s="184"/>
      <c r="F12" s="171" t="s">
        <v>327</v>
      </c>
      <c r="G12" s="171"/>
      <c r="H12" s="171"/>
      <c r="I12" s="172">
        <v>127.26</v>
      </c>
      <c r="J12" s="173"/>
      <c r="K12" s="150" t="s">
        <v>69</v>
      </c>
      <c r="L12" s="3"/>
      <c r="M12" s="3"/>
    </row>
    <row r="13" spans="1:30" ht="14.25" x14ac:dyDescent="0.2">
      <c r="A13" s="184"/>
      <c r="B13" s="184"/>
      <c r="C13" s="184"/>
      <c r="D13" s="184"/>
      <c r="E13" s="184"/>
      <c r="F13" s="171" t="s">
        <v>328</v>
      </c>
      <c r="G13" s="171"/>
      <c r="H13" s="171"/>
      <c r="I13" s="172">
        <v>6.4</v>
      </c>
      <c r="J13" s="173"/>
      <c r="K13" s="150" t="s">
        <v>69</v>
      </c>
      <c r="L13" s="3"/>
      <c r="M13" s="3"/>
    </row>
    <row r="14" spans="1:30" ht="14.25" x14ac:dyDescent="0.2">
      <c r="A14" s="184"/>
      <c r="B14" s="184"/>
      <c r="C14" s="184"/>
      <c r="D14" s="184"/>
      <c r="E14" s="184"/>
      <c r="F14" s="171" t="s">
        <v>70</v>
      </c>
      <c r="G14" s="171"/>
      <c r="H14" s="171"/>
      <c r="I14" s="172">
        <v>849.00886000000014</v>
      </c>
      <c r="J14" s="173"/>
      <c r="K14" s="150" t="s">
        <v>71</v>
      </c>
      <c r="L14" s="3"/>
      <c r="M14" s="3"/>
    </row>
    <row r="15" spans="1:30" ht="14.25" x14ac:dyDescent="0.2">
      <c r="A15" s="185"/>
      <c r="B15" s="185"/>
      <c r="C15" s="185"/>
      <c r="D15" s="185"/>
      <c r="E15" s="185"/>
      <c r="F15" s="174" t="s">
        <v>72</v>
      </c>
      <c r="G15" s="174"/>
      <c r="H15" s="174"/>
      <c r="I15" s="175">
        <v>7.883</v>
      </c>
      <c r="J15" s="176"/>
      <c r="K15" s="150" t="s">
        <v>69</v>
      </c>
      <c r="L15" s="3"/>
      <c r="M15" s="3"/>
    </row>
    <row r="16" spans="1:30" ht="14.25" x14ac:dyDescent="0.2">
      <c r="A16" s="181" t="s">
        <v>16</v>
      </c>
      <c r="B16" s="181" t="s">
        <v>73</v>
      </c>
      <c r="C16" s="181" t="s">
        <v>74</v>
      </c>
      <c r="D16" s="181" t="s">
        <v>75</v>
      </c>
      <c r="E16" s="181" t="s">
        <v>76</v>
      </c>
      <c r="F16" s="181"/>
      <c r="G16" s="182" t="s">
        <v>77</v>
      </c>
      <c r="H16" s="182"/>
      <c r="I16" s="182"/>
      <c r="J16" s="181" t="s">
        <v>78</v>
      </c>
      <c r="K16" s="181"/>
      <c r="L16" s="3"/>
      <c r="M16" s="3"/>
    </row>
    <row r="17" spans="1:28" ht="20.100000000000001" customHeight="1" x14ac:dyDescent="0.2">
      <c r="A17" s="181"/>
      <c r="B17" s="181"/>
      <c r="C17" s="181"/>
      <c r="D17" s="181"/>
      <c r="E17" s="181" t="s">
        <v>79</v>
      </c>
      <c r="F17" s="181" t="s">
        <v>80</v>
      </c>
      <c r="G17" s="181" t="s">
        <v>79</v>
      </c>
      <c r="H17" s="181" t="s">
        <v>81</v>
      </c>
      <c r="I17" s="181" t="s">
        <v>80</v>
      </c>
      <c r="J17" s="181"/>
      <c r="K17" s="181"/>
      <c r="L17" s="3"/>
      <c r="M17" s="3"/>
    </row>
    <row r="18" spans="1:28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3"/>
      <c r="M18" s="3"/>
    </row>
    <row r="19" spans="1:28" ht="20.100000000000001" customHeight="1" x14ac:dyDescent="0.2">
      <c r="A19" s="181"/>
      <c r="B19" s="181"/>
      <c r="C19" s="181"/>
      <c r="D19" s="181"/>
      <c r="E19" s="181" t="s">
        <v>82</v>
      </c>
      <c r="F19" s="181" t="s">
        <v>83</v>
      </c>
      <c r="G19" s="181"/>
      <c r="H19" s="181"/>
      <c r="I19" s="181" t="s">
        <v>83</v>
      </c>
      <c r="J19" s="181" t="s">
        <v>84</v>
      </c>
      <c r="K19" s="181"/>
      <c r="L19" s="3"/>
      <c r="M19" s="3"/>
    </row>
    <row r="20" spans="1:28" ht="14.25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48" t="s">
        <v>85</v>
      </c>
      <c r="K20" s="148" t="s">
        <v>86</v>
      </c>
      <c r="L20" s="3"/>
      <c r="M20" s="3"/>
    </row>
    <row r="21" spans="1:28" ht="14.25" x14ac:dyDescent="0.2">
      <c r="A21" s="148">
        <v>1</v>
      </c>
      <c r="B21" s="148">
        <v>2</v>
      </c>
      <c r="C21" s="148">
        <v>3</v>
      </c>
      <c r="D21" s="148">
        <v>4</v>
      </c>
      <c r="E21" s="148">
        <v>5</v>
      </c>
      <c r="F21" s="148">
        <v>6</v>
      </c>
      <c r="G21" s="148">
        <v>7</v>
      </c>
      <c r="H21" s="148">
        <v>8</v>
      </c>
      <c r="I21" s="148">
        <v>9</v>
      </c>
      <c r="J21" s="148">
        <v>10</v>
      </c>
      <c r="K21" s="148">
        <v>11</v>
      </c>
      <c r="L21" s="3"/>
      <c r="M21" s="3"/>
    </row>
    <row r="23" spans="1:28" ht="16.5" x14ac:dyDescent="0.25">
      <c r="A23" s="186" t="s">
        <v>406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</row>
    <row r="25" spans="1:28" ht="16.5" x14ac:dyDescent="0.25">
      <c r="A25" s="186" t="s">
        <v>407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</row>
    <row r="26" spans="1:28" ht="146.25" x14ac:dyDescent="0.2">
      <c r="A26" s="149" t="s">
        <v>87</v>
      </c>
      <c r="B26" s="149" t="s">
        <v>1784</v>
      </c>
      <c r="C26" s="145" t="s">
        <v>1690</v>
      </c>
      <c r="D26" s="3">
        <v>0.6</v>
      </c>
      <c r="E26" s="141">
        <v>61.79</v>
      </c>
      <c r="F26" s="141">
        <v>46.46</v>
      </c>
      <c r="G26" s="140">
        <v>37</v>
      </c>
      <c r="H26" s="140">
        <v>9</v>
      </c>
      <c r="I26" s="142">
        <v>28</v>
      </c>
      <c r="J26" s="141">
        <v>1.5450000000000002</v>
      </c>
      <c r="K26" s="141">
        <v>0.92700000000000005</v>
      </c>
      <c r="T26">
        <v>56</v>
      </c>
      <c r="U26">
        <v>0</v>
      </c>
      <c r="V26">
        <v>9</v>
      </c>
      <c r="W26">
        <v>28</v>
      </c>
      <c r="X26">
        <v>3</v>
      </c>
      <c r="Y26">
        <v>0.92700000000000005</v>
      </c>
      <c r="Z26">
        <v>0.27719999999999995</v>
      </c>
      <c r="AA26">
        <v>11</v>
      </c>
      <c r="AB26">
        <v>8</v>
      </c>
    </row>
    <row r="27" spans="1:28" ht="14.25" x14ac:dyDescent="0.2">
      <c r="C27" s="35" t="s">
        <v>171</v>
      </c>
      <c r="D27" s="3"/>
      <c r="E27" s="139">
        <v>15.33</v>
      </c>
      <c r="F27" s="139">
        <v>5.8</v>
      </c>
      <c r="G27" s="140"/>
      <c r="H27" s="140"/>
      <c r="I27" s="140">
        <v>3</v>
      </c>
      <c r="J27" s="139">
        <v>0.46199999999999997</v>
      </c>
      <c r="K27" s="139">
        <v>0.27719999999999995</v>
      </c>
    </row>
    <row r="28" spans="1:28" x14ac:dyDescent="0.2">
      <c r="C28" s="20" t="s">
        <v>89</v>
      </c>
      <c r="D28" s="37">
        <v>95</v>
      </c>
      <c r="E28" s="144">
        <v>20.073499999999999</v>
      </c>
      <c r="F28" s="37"/>
      <c r="G28" s="143">
        <v>11</v>
      </c>
      <c r="H28" s="37" t="s">
        <v>234</v>
      </c>
      <c r="I28" s="37"/>
      <c r="J28" s="37"/>
      <c r="K28" s="37"/>
    </row>
    <row r="29" spans="1:28" x14ac:dyDescent="0.2">
      <c r="C29" s="20" t="s">
        <v>92</v>
      </c>
      <c r="D29" s="37">
        <v>65</v>
      </c>
      <c r="E29" s="144">
        <v>13.734500000000001</v>
      </c>
      <c r="F29" s="37"/>
      <c r="G29" s="143">
        <v>8</v>
      </c>
      <c r="H29" s="37" t="s">
        <v>202</v>
      </c>
      <c r="I29" s="37"/>
      <c r="J29" s="37"/>
      <c r="K29" s="37"/>
    </row>
    <row r="30" spans="1:28" x14ac:dyDescent="0.2">
      <c r="C30" s="20" t="s">
        <v>95</v>
      </c>
      <c r="D30" s="37"/>
      <c r="E30" s="144">
        <v>95.597999999999999</v>
      </c>
      <c r="F30" s="37"/>
      <c r="G30" s="143">
        <v>56</v>
      </c>
      <c r="H30" s="37"/>
      <c r="I30" s="37"/>
      <c r="J30" s="37"/>
      <c r="K30" s="37"/>
    </row>
    <row r="31" spans="1:28" ht="99.75" x14ac:dyDescent="0.2">
      <c r="A31" s="149" t="s">
        <v>96</v>
      </c>
      <c r="B31" s="149" t="s">
        <v>1784</v>
      </c>
      <c r="C31" s="145" t="s">
        <v>1785</v>
      </c>
      <c r="D31" s="3">
        <v>1.31</v>
      </c>
      <c r="E31" s="141">
        <v>223.35</v>
      </c>
      <c r="F31" s="141">
        <v>154.85</v>
      </c>
      <c r="G31" s="140">
        <v>293</v>
      </c>
      <c r="H31" s="140">
        <v>67</v>
      </c>
      <c r="I31" s="142">
        <v>203</v>
      </c>
      <c r="J31" s="141">
        <v>5.15</v>
      </c>
      <c r="K31" s="141">
        <v>6.7465000000000011</v>
      </c>
      <c r="T31">
        <v>440</v>
      </c>
      <c r="U31">
        <v>23</v>
      </c>
      <c r="V31">
        <v>67</v>
      </c>
      <c r="W31">
        <v>203</v>
      </c>
      <c r="X31">
        <v>25</v>
      </c>
      <c r="Y31">
        <v>6.7465000000000011</v>
      </c>
      <c r="Z31">
        <v>2.0174000000000003</v>
      </c>
      <c r="AA31">
        <v>87</v>
      </c>
      <c r="AB31">
        <v>60</v>
      </c>
    </row>
    <row r="32" spans="1:28" ht="14.25" x14ac:dyDescent="0.2">
      <c r="C32" s="35" t="s">
        <v>171</v>
      </c>
      <c r="D32" s="3"/>
      <c r="E32" s="139">
        <v>51.09</v>
      </c>
      <c r="F32" s="139">
        <v>19.329999999999998</v>
      </c>
      <c r="G32" s="140"/>
      <c r="H32" s="140"/>
      <c r="I32" s="140">
        <v>25</v>
      </c>
      <c r="J32" s="139">
        <v>1.54</v>
      </c>
      <c r="K32" s="139">
        <v>2.0174000000000003</v>
      </c>
    </row>
    <row r="33" spans="1:28" x14ac:dyDescent="0.2">
      <c r="C33" s="36" t="s">
        <v>1786</v>
      </c>
    </row>
    <row r="34" spans="1:28" x14ac:dyDescent="0.2">
      <c r="C34" s="20" t="s">
        <v>89</v>
      </c>
      <c r="D34" s="37">
        <v>95</v>
      </c>
      <c r="E34" s="144">
        <v>66.899000000000001</v>
      </c>
      <c r="F34" s="37"/>
      <c r="G34" s="143">
        <v>87</v>
      </c>
      <c r="H34" s="37" t="s">
        <v>234</v>
      </c>
      <c r="I34" s="37"/>
      <c r="J34" s="37"/>
      <c r="K34" s="37"/>
    </row>
    <row r="35" spans="1:28" x14ac:dyDescent="0.2">
      <c r="C35" s="20" t="s">
        <v>92</v>
      </c>
      <c r="D35" s="37">
        <v>65</v>
      </c>
      <c r="E35" s="144">
        <v>45.773000000000003</v>
      </c>
      <c r="F35" s="37"/>
      <c r="G35" s="143">
        <v>60</v>
      </c>
      <c r="H35" s="37" t="s">
        <v>202</v>
      </c>
      <c r="I35" s="37"/>
      <c r="J35" s="37"/>
      <c r="K35" s="37"/>
    </row>
    <row r="36" spans="1:28" x14ac:dyDescent="0.2">
      <c r="C36" s="20" t="s">
        <v>95</v>
      </c>
      <c r="D36" s="37"/>
      <c r="E36" s="144">
        <v>336.02199999999999</v>
      </c>
      <c r="F36" s="37"/>
      <c r="G36" s="143">
        <v>440</v>
      </c>
      <c r="H36" s="37"/>
      <c r="I36" s="37"/>
      <c r="J36" s="37"/>
      <c r="K36" s="37"/>
    </row>
    <row r="37" spans="1:28" ht="99.75" x14ac:dyDescent="0.2">
      <c r="A37" s="149" t="s">
        <v>100</v>
      </c>
      <c r="B37" s="149" t="s">
        <v>1787</v>
      </c>
      <c r="C37" s="145" t="s">
        <v>1788</v>
      </c>
      <c r="D37" s="3">
        <v>1</v>
      </c>
      <c r="E37" s="141">
        <v>724.62</v>
      </c>
      <c r="F37" s="141">
        <v>0</v>
      </c>
      <c r="G37" s="140">
        <v>725</v>
      </c>
      <c r="H37" s="140">
        <v>0</v>
      </c>
      <c r="I37" s="142">
        <v>0</v>
      </c>
      <c r="J37" s="141">
        <v>0</v>
      </c>
      <c r="K37" s="141">
        <v>0</v>
      </c>
      <c r="T37">
        <v>725</v>
      </c>
      <c r="U37">
        <v>725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ht="14.25" x14ac:dyDescent="0.2">
      <c r="C38" s="35" t="s">
        <v>158</v>
      </c>
      <c r="D38" s="3"/>
      <c r="E38" s="139">
        <v>0</v>
      </c>
      <c r="F38" s="139">
        <v>0</v>
      </c>
      <c r="G38" s="140"/>
      <c r="H38" s="140"/>
      <c r="I38" s="140">
        <v>0</v>
      </c>
      <c r="J38" s="139">
        <v>0</v>
      </c>
      <c r="K38" s="139">
        <v>0</v>
      </c>
    </row>
    <row r="39" spans="1:28" ht="99.75" x14ac:dyDescent="0.2">
      <c r="A39" s="149" t="s">
        <v>105</v>
      </c>
      <c r="B39" s="149" t="s">
        <v>1789</v>
      </c>
      <c r="C39" s="145" t="s">
        <v>1790</v>
      </c>
      <c r="D39" s="3">
        <v>1</v>
      </c>
      <c r="E39" s="141">
        <v>578.33000000000004</v>
      </c>
      <c r="F39" s="141">
        <v>0</v>
      </c>
      <c r="G39" s="140">
        <v>578</v>
      </c>
      <c r="H39" s="140">
        <v>0</v>
      </c>
      <c r="I39" s="142">
        <v>0</v>
      </c>
      <c r="J39" s="141">
        <v>0</v>
      </c>
      <c r="K39" s="141">
        <v>0</v>
      </c>
      <c r="T39">
        <v>578</v>
      </c>
      <c r="U39">
        <v>578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</row>
    <row r="40" spans="1:28" ht="14.25" x14ac:dyDescent="0.2">
      <c r="C40" s="35" t="s">
        <v>158</v>
      </c>
      <c r="D40" s="3"/>
      <c r="E40" s="139">
        <v>0</v>
      </c>
      <c r="F40" s="139">
        <v>0</v>
      </c>
      <c r="G40" s="140"/>
      <c r="H40" s="140"/>
      <c r="I40" s="140">
        <v>0</v>
      </c>
      <c r="J40" s="139">
        <v>0</v>
      </c>
      <c r="K40" s="139">
        <v>0</v>
      </c>
    </row>
    <row r="41" spans="1:28" ht="99.75" x14ac:dyDescent="0.2">
      <c r="A41" s="149" t="s">
        <v>106</v>
      </c>
      <c r="B41" s="149" t="s">
        <v>1791</v>
      </c>
      <c r="C41" s="145" t="s">
        <v>408</v>
      </c>
      <c r="D41" s="3">
        <v>1</v>
      </c>
      <c r="E41" s="141">
        <v>487.91</v>
      </c>
      <c r="F41" s="141">
        <v>0</v>
      </c>
      <c r="G41" s="140">
        <v>488</v>
      </c>
      <c r="H41" s="140">
        <v>0</v>
      </c>
      <c r="I41" s="142">
        <v>0</v>
      </c>
      <c r="J41" s="141">
        <v>0</v>
      </c>
      <c r="K41" s="141">
        <v>0</v>
      </c>
      <c r="T41">
        <v>488</v>
      </c>
      <c r="U41">
        <v>488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ht="14.25" x14ac:dyDescent="0.2">
      <c r="C42" s="35" t="s">
        <v>158</v>
      </c>
      <c r="D42" s="3"/>
      <c r="E42" s="139">
        <v>0</v>
      </c>
      <c r="F42" s="139">
        <v>0</v>
      </c>
      <c r="G42" s="140"/>
      <c r="H42" s="140"/>
      <c r="I42" s="140">
        <v>0</v>
      </c>
      <c r="J42" s="139">
        <v>0</v>
      </c>
      <c r="K42" s="139">
        <v>0</v>
      </c>
    </row>
    <row r="43" spans="1:28" ht="99.75" x14ac:dyDescent="0.2">
      <c r="A43" s="149" t="s">
        <v>112</v>
      </c>
      <c r="B43" s="149" t="s">
        <v>1792</v>
      </c>
      <c r="C43" s="145" t="s">
        <v>409</v>
      </c>
      <c r="D43" s="3">
        <v>44</v>
      </c>
      <c r="E43" s="141">
        <v>29.85</v>
      </c>
      <c r="F43" s="141">
        <v>18.11</v>
      </c>
      <c r="G43" s="140">
        <v>1314</v>
      </c>
      <c r="H43" s="140">
        <v>436</v>
      </c>
      <c r="I43" s="142">
        <v>797</v>
      </c>
      <c r="J43" s="141">
        <v>1.03</v>
      </c>
      <c r="K43" s="141">
        <v>45.32</v>
      </c>
      <c r="T43">
        <v>2188</v>
      </c>
      <c r="U43">
        <v>81</v>
      </c>
      <c r="V43">
        <v>436</v>
      </c>
      <c r="W43">
        <v>797</v>
      </c>
      <c r="X43">
        <v>110</v>
      </c>
      <c r="Y43">
        <v>45.32</v>
      </c>
      <c r="Z43">
        <v>8.8000000000000007</v>
      </c>
      <c r="AA43">
        <v>519</v>
      </c>
      <c r="AB43">
        <v>355</v>
      </c>
    </row>
    <row r="44" spans="1:28" ht="14.25" x14ac:dyDescent="0.2">
      <c r="C44" s="35" t="s">
        <v>158</v>
      </c>
      <c r="D44" s="3"/>
      <c r="E44" s="139">
        <v>9.91</v>
      </c>
      <c r="F44" s="139">
        <v>2.5099999999999998</v>
      </c>
      <c r="G44" s="140"/>
      <c r="H44" s="140"/>
      <c r="I44" s="140">
        <v>110</v>
      </c>
      <c r="J44" s="139">
        <v>0.2</v>
      </c>
      <c r="K44" s="139">
        <v>8.8000000000000007</v>
      </c>
    </row>
    <row r="45" spans="1:28" ht="25.5" x14ac:dyDescent="0.2">
      <c r="C45" s="36" t="s">
        <v>410</v>
      </c>
    </row>
    <row r="46" spans="1:28" x14ac:dyDescent="0.2">
      <c r="C46" s="20" t="s">
        <v>89</v>
      </c>
      <c r="D46" s="37">
        <v>95</v>
      </c>
      <c r="E46" s="144">
        <v>11.799000000000001</v>
      </c>
      <c r="F46" s="37"/>
      <c r="G46" s="143">
        <v>519</v>
      </c>
      <c r="H46" s="37" t="s">
        <v>234</v>
      </c>
      <c r="I46" s="37"/>
      <c r="J46" s="37"/>
      <c r="K46" s="37"/>
    </row>
    <row r="47" spans="1:28" x14ac:dyDescent="0.2">
      <c r="C47" s="20" t="s">
        <v>92</v>
      </c>
      <c r="D47" s="37">
        <v>65</v>
      </c>
      <c r="E47" s="144">
        <v>8.0730000000000004</v>
      </c>
      <c r="F47" s="37"/>
      <c r="G47" s="143">
        <v>355</v>
      </c>
      <c r="H47" s="37" t="s">
        <v>202</v>
      </c>
      <c r="I47" s="37"/>
      <c r="J47" s="37"/>
      <c r="K47" s="37"/>
    </row>
    <row r="48" spans="1:28" x14ac:dyDescent="0.2">
      <c r="C48" s="20" t="s">
        <v>95</v>
      </c>
      <c r="D48" s="37"/>
      <c r="E48" s="144">
        <v>49.722000000000001</v>
      </c>
      <c r="F48" s="37"/>
      <c r="G48" s="143">
        <v>2188</v>
      </c>
      <c r="H48" s="37"/>
      <c r="I48" s="37"/>
      <c r="J48" s="37"/>
      <c r="K48" s="37"/>
    </row>
    <row r="49" spans="1:28" ht="54" x14ac:dyDescent="0.2">
      <c r="A49" s="149" t="s">
        <v>114</v>
      </c>
      <c r="B49" s="149" t="s">
        <v>1689</v>
      </c>
      <c r="C49" s="145" t="s">
        <v>1688</v>
      </c>
      <c r="D49" s="3">
        <v>1</v>
      </c>
      <c r="E49" s="141">
        <v>885.11</v>
      </c>
      <c r="F49" s="141">
        <v>0</v>
      </c>
      <c r="G49" s="140">
        <v>885</v>
      </c>
      <c r="H49" s="140">
        <v>0</v>
      </c>
      <c r="I49" s="142">
        <v>0</v>
      </c>
      <c r="J49" s="141">
        <v>0</v>
      </c>
      <c r="K49" s="141">
        <v>0</v>
      </c>
      <c r="T49">
        <v>885</v>
      </c>
      <c r="U49">
        <v>885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</row>
    <row r="50" spans="1:28" ht="14.25" x14ac:dyDescent="0.2">
      <c r="C50" s="35" t="s">
        <v>158</v>
      </c>
      <c r="D50" s="3"/>
      <c r="E50" s="139">
        <v>0</v>
      </c>
      <c r="F50" s="139">
        <v>0</v>
      </c>
      <c r="G50" s="140"/>
      <c r="H50" s="140"/>
      <c r="I50" s="140">
        <v>0</v>
      </c>
      <c r="J50" s="139">
        <v>0</v>
      </c>
      <c r="K50" s="139">
        <v>0</v>
      </c>
    </row>
    <row r="51" spans="1:28" ht="54" x14ac:dyDescent="0.2">
      <c r="A51" s="149" t="s">
        <v>115</v>
      </c>
      <c r="B51" s="149" t="s">
        <v>529</v>
      </c>
      <c r="C51" s="145" t="s">
        <v>1687</v>
      </c>
      <c r="D51" s="3">
        <v>3</v>
      </c>
      <c r="E51" s="141">
        <v>369.82</v>
      </c>
      <c r="F51" s="141">
        <v>0</v>
      </c>
      <c r="G51" s="140">
        <v>1109</v>
      </c>
      <c r="H51" s="140">
        <v>0</v>
      </c>
      <c r="I51" s="142">
        <v>0</v>
      </c>
      <c r="J51" s="141">
        <v>0</v>
      </c>
      <c r="K51" s="141">
        <v>0</v>
      </c>
      <c r="T51">
        <v>1109</v>
      </c>
      <c r="U51">
        <v>1109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8" ht="14.25" x14ac:dyDescent="0.2">
      <c r="C52" s="35" t="s">
        <v>158</v>
      </c>
      <c r="D52" s="3"/>
      <c r="E52" s="139">
        <v>0</v>
      </c>
      <c r="F52" s="139">
        <v>0</v>
      </c>
      <c r="G52" s="140"/>
      <c r="H52" s="140"/>
      <c r="I52" s="140">
        <v>0</v>
      </c>
      <c r="J52" s="139">
        <v>0</v>
      </c>
      <c r="K52" s="139">
        <v>0</v>
      </c>
    </row>
    <row r="53" spans="1:28" ht="99.75" x14ac:dyDescent="0.2">
      <c r="A53" s="149" t="s">
        <v>116</v>
      </c>
      <c r="B53" s="149" t="s">
        <v>1793</v>
      </c>
      <c r="C53" s="145" t="s">
        <v>411</v>
      </c>
      <c r="D53" s="3">
        <v>1</v>
      </c>
      <c r="E53" s="141">
        <v>29.62</v>
      </c>
      <c r="F53" s="141">
        <v>0</v>
      </c>
      <c r="G53" s="140">
        <v>30</v>
      </c>
      <c r="H53" s="140">
        <v>0</v>
      </c>
      <c r="I53" s="142">
        <v>0</v>
      </c>
      <c r="J53" s="141">
        <v>0</v>
      </c>
      <c r="K53" s="141">
        <v>0</v>
      </c>
      <c r="T53">
        <v>30</v>
      </c>
      <c r="U53">
        <v>30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</row>
    <row r="54" spans="1:28" ht="14.25" x14ac:dyDescent="0.2">
      <c r="C54" s="35" t="s">
        <v>158</v>
      </c>
      <c r="D54" s="3"/>
      <c r="E54" s="139">
        <v>0</v>
      </c>
      <c r="F54" s="139">
        <v>0</v>
      </c>
      <c r="G54" s="140"/>
      <c r="H54" s="140"/>
      <c r="I54" s="140">
        <v>0</v>
      </c>
      <c r="J54" s="139">
        <v>0</v>
      </c>
      <c r="K54" s="139">
        <v>0</v>
      </c>
    </row>
    <row r="55" spans="1:28" ht="99.75" x14ac:dyDescent="0.2">
      <c r="A55" s="149" t="s">
        <v>118</v>
      </c>
      <c r="B55" s="149" t="s">
        <v>1794</v>
      </c>
      <c r="C55" s="145" t="s">
        <v>1795</v>
      </c>
      <c r="D55" s="3">
        <v>1</v>
      </c>
      <c r="E55" s="141">
        <v>29.62</v>
      </c>
      <c r="F55" s="141">
        <v>0</v>
      </c>
      <c r="G55" s="140">
        <v>30</v>
      </c>
      <c r="H55" s="140">
        <v>0</v>
      </c>
      <c r="I55" s="142">
        <v>0</v>
      </c>
      <c r="J55" s="141">
        <v>0</v>
      </c>
      <c r="K55" s="141">
        <v>0</v>
      </c>
      <c r="T55">
        <v>30</v>
      </c>
      <c r="U55">
        <v>30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8" ht="14.25" x14ac:dyDescent="0.2">
      <c r="C56" s="35" t="s">
        <v>158</v>
      </c>
      <c r="D56" s="3"/>
      <c r="E56" s="139">
        <v>0</v>
      </c>
      <c r="F56" s="139">
        <v>0</v>
      </c>
      <c r="G56" s="140"/>
      <c r="H56" s="140"/>
      <c r="I56" s="140">
        <v>0</v>
      </c>
      <c r="J56" s="139">
        <v>0</v>
      </c>
      <c r="K56" s="139">
        <v>0</v>
      </c>
    </row>
    <row r="57" spans="1:28" ht="99.75" x14ac:dyDescent="0.2">
      <c r="A57" s="149" t="s">
        <v>119</v>
      </c>
      <c r="B57" s="149" t="s">
        <v>1796</v>
      </c>
      <c r="C57" s="145" t="s">
        <v>412</v>
      </c>
      <c r="D57" s="3">
        <v>6</v>
      </c>
      <c r="E57" s="141">
        <v>31.35</v>
      </c>
      <c r="F57" s="141">
        <v>0</v>
      </c>
      <c r="G57" s="140">
        <v>188</v>
      </c>
      <c r="H57" s="140">
        <v>0</v>
      </c>
      <c r="I57" s="142">
        <v>0</v>
      </c>
      <c r="J57" s="141">
        <v>0</v>
      </c>
      <c r="K57" s="141">
        <v>0</v>
      </c>
      <c r="T57">
        <v>188</v>
      </c>
      <c r="U57">
        <v>188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</row>
    <row r="58" spans="1:28" ht="14.25" x14ac:dyDescent="0.2">
      <c r="C58" s="35" t="s">
        <v>158</v>
      </c>
      <c r="D58" s="3"/>
      <c r="E58" s="139">
        <v>0</v>
      </c>
      <c r="F58" s="139">
        <v>0</v>
      </c>
      <c r="G58" s="140"/>
      <c r="H58" s="140"/>
      <c r="I58" s="140">
        <v>0</v>
      </c>
      <c r="J58" s="139">
        <v>0</v>
      </c>
      <c r="K58" s="139">
        <v>0</v>
      </c>
    </row>
    <row r="59" spans="1:28" x14ac:dyDescent="0.2">
      <c r="C59" s="36" t="s">
        <v>413</v>
      </c>
    </row>
    <row r="60" spans="1:28" ht="99.75" x14ac:dyDescent="0.2">
      <c r="A60" s="149" t="s">
        <v>120</v>
      </c>
      <c r="B60" s="149" t="s">
        <v>1797</v>
      </c>
      <c r="C60" s="145" t="s">
        <v>414</v>
      </c>
      <c r="D60" s="3">
        <v>5</v>
      </c>
      <c r="E60" s="141">
        <v>9.8699999999999992</v>
      </c>
      <c r="F60" s="141">
        <v>0</v>
      </c>
      <c r="G60" s="140">
        <v>49</v>
      </c>
      <c r="H60" s="140">
        <v>0</v>
      </c>
      <c r="I60" s="142">
        <v>0</v>
      </c>
      <c r="J60" s="141">
        <v>0</v>
      </c>
      <c r="K60" s="141">
        <v>0</v>
      </c>
      <c r="T60">
        <v>49</v>
      </c>
      <c r="U60">
        <v>49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</row>
    <row r="61" spans="1:28" ht="14.25" x14ac:dyDescent="0.2">
      <c r="C61" s="35" t="s">
        <v>158</v>
      </c>
      <c r="D61" s="3"/>
      <c r="E61" s="139">
        <v>0</v>
      </c>
      <c r="F61" s="139">
        <v>0</v>
      </c>
      <c r="G61" s="140"/>
      <c r="H61" s="140"/>
      <c r="I61" s="140">
        <v>0</v>
      </c>
      <c r="J61" s="139">
        <v>0</v>
      </c>
      <c r="K61" s="139">
        <v>0</v>
      </c>
    </row>
    <row r="62" spans="1:28" x14ac:dyDescent="0.2">
      <c r="C62" s="36" t="s">
        <v>415</v>
      </c>
    </row>
    <row r="63" spans="1:28" ht="99.75" x14ac:dyDescent="0.2">
      <c r="A63" s="149" t="s">
        <v>123</v>
      </c>
      <c r="B63" s="149" t="s">
        <v>1798</v>
      </c>
      <c r="C63" s="145" t="s">
        <v>416</v>
      </c>
      <c r="D63" s="3">
        <v>4</v>
      </c>
      <c r="E63" s="141">
        <v>13.12</v>
      </c>
      <c r="F63" s="141">
        <v>0</v>
      </c>
      <c r="G63" s="140">
        <v>52</v>
      </c>
      <c r="H63" s="140">
        <v>0</v>
      </c>
      <c r="I63" s="142">
        <v>0</v>
      </c>
      <c r="J63" s="141">
        <v>0</v>
      </c>
      <c r="K63" s="141">
        <v>0</v>
      </c>
      <c r="T63">
        <v>52</v>
      </c>
      <c r="U63">
        <v>52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</row>
    <row r="64" spans="1:28" ht="14.25" x14ac:dyDescent="0.2">
      <c r="C64" s="35" t="s">
        <v>158</v>
      </c>
      <c r="D64" s="3"/>
      <c r="E64" s="139">
        <v>0</v>
      </c>
      <c r="F64" s="139">
        <v>0</v>
      </c>
      <c r="G64" s="140"/>
      <c r="H64" s="140"/>
      <c r="I64" s="140">
        <v>0</v>
      </c>
      <c r="J64" s="139">
        <v>0</v>
      </c>
      <c r="K64" s="139">
        <v>0</v>
      </c>
    </row>
    <row r="65" spans="1:28" ht="99.75" x14ac:dyDescent="0.2">
      <c r="A65" s="149" t="s">
        <v>124</v>
      </c>
      <c r="B65" s="149" t="s">
        <v>1798</v>
      </c>
      <c r="C65" s="145" t="s">
        <v>416</v>
      </c>
      <c r="D65" s="3">
        <v>8</v>
      </c>
      <c r="E65" s="141">
        <v>13.12</v>
      </c>
      <c r="F65" s="141">
        <v>0</v>
      </c>
      <c r="G65" s="140">
        <v>105</v>
      </c>
      <c r="H65" s="140">
        <v>0</v>
      </c>
      <c r="I65" s="142">
        <v>0</v>
      </c>
      <c r="J65" s="141">
        <v>0</v>
      </c>
      <c r="K65" s="141">
        <v>0</v>
      </c>
      <c r="T65">
        <v>105</v>
      </c>
      <c r="U65">
        <v>105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</row>
    <row r="66" spans="1:28" ht="14.25" x14ac:dyDescent="0.2">
      <c r="C66" s="35" t="s">
        <v>158</v>
      </c>
      <c r="D66" s="3"/>
      <c r="E66" s="139">
        <v>0</v>
      </c>
      <c r="F66" s="139">
        <v>0</v>
      </c>
      <c r="G66" s="140"/>
      <c r="H66" s="140"/>
      <c r="I66" s="140">
        <v>0</v>
      </c>
      <c r="J66" s="139">
        <v>0</v>
      </c>
      <c r="K66" s="139">
        <v>0</v>
      </c>
    </row>
    <row r="67" spans="1:28" x14ac:dyDescent="0.2">
      <c r="C67" s="36" t="s">
        <v>313</v>
      </c>
    </row>
    <row r="68" spans="1:28" ht="99.75" x14ac:dyDescent="0.2">
      <c r="A68" s="149" t="s">
        <v>126</v>
      </c>
      <c r="B68" s="149" t="s">
        <v>1799</v>
      </c>
      <c r="C68" s="145" t="s">
        <v>1800</v>
      </c>
      <c r="D68" s="3">
        <v>13</v>
      </c>
      <c r="E68" s="141">
        <v>95.16</v>
      </c>
      <c r="F68" s="141">
        <v>0</v>
      </c>
      <c r="G68" s="140">
        <v>1237</v>
      </c>
      <c r="H68" s="140">
        <v>0</v>
      </c>
      <c r="I68" s="142">
        <v>0</v>
      </c>
      <c r="J68" s="141">
        <v>0</v>
      </c>
      <c r="K68" s="141">
        <v>0</v>
      </c>
      <c r="T68">
        <v>1237</v>
      </c>
      <c r="U68">
        <v>1237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</row>
    <row r="69" spans="1:28" ht="14.25" x14ac:dyDescent="0.2">
      <c r="C69" s="35" t="s">
        <v>158</v>
      </c>
      <c r="D69" s="3"/>
      <c r="E69" s="139">
        <v>0</v>
      </c>
      <c r="F69" s="139">
        <v>0</v>
      </c>
      <c r="G69" s="140"/>
      <c r="H69" s="140"/>
      <c r="I69" s="140">
        <v>0</v>
      </c>
      <c r="J69" s="139">
        <v>0</v>
      </c>
      <c r="K69" s="139">
        <v>0</v>
      </c>
    </row>
    <row r="70" spans="1:28" ht="99.75" x14ac:dyDescent="0.2">
      <c r="A70" s="149" t="s">
        <v>135</v>
      </c>
      <c r="B70" s="149" t="s">
        <v>1801</v>
      </c>
      <c r="C70" s="145" t="s">
        <v>1802</v>
      </c>
      <c r="D70" s="3">
        <v>1</v>
      </c>
      <c r="E70" s="141">
        <v>392.9</v>
      </c>
      <c r="F70" s="141">
        <v>0</v>
      </c>
      <c r="G70" s="140">
        <v>393</v>
      </c>
      <c r="H70" s="140">
        <v>0</v>
      </c>
      <c r="I70" s="142">
        <v>0</v>
      </c>
      <c r="J70" s="141">
        <v>0</v>
      </c>
      <c r="K70" s="141">
        <v>0</v>
      </c>
      <c r="T70">
        <v>393</v>
      </c>
      <c r="U70">
        <v>393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</row>
    <row r="71" spans="1:28" ht="14.25" x14ac:dyDescent="0.2">
      <c r="C71" s="35" t="s">
        <v>158</v>
      </c>
      <c r="D71" s="3"/>
      <c r="E71" s="139">
        <v>0</v>
      </c>
      <c r="F71" s="139">
        <v>0</v>
      </c>
      <c r="G71" s="140"/>
      <c r="H71" s="140"/>
      <c r="I71" s="140">
        <v>0</v>
      </c>
      <c r="J71" s="139">
        <v>0</v>
      </c>
      <c r="K71" s="139">
        <v>0</v>
      </c>
    </row>
    <row r="72" spans="1:28" ht="99.75" x14ac:dyDescent="0.2">
      <c r="A72" s="149" t="s">
        <v>138</v>
      </c>
      <c r="B72" s="149" t="s">
        <v>1803</v>
      </c>
      <c r="C72" s="145" t="s">
        <v>417</v>
      </c>
      <c r="D72" s="3">
        <v>0.1</v>
      </c>
      <c r="E72" s="141">
        <v>2484.1999999999998</v>
      </c>
      <c r="F72" s="141">
        <v>0</v>
      </c>
      <c r="G72" s="140">
        <v>248</v>
      </c>
      <c r="H72" s="140">
        <v>0</v>
      </c>
      <c r="I72" s="142">
        <v>0</v>
      </c>
      <c r="J72" s="141">
        <v>0</v>
      </c>
      <c r="K72" s="141">
        <v>0</v>
      </c>
      <c r="T72">
        <v>248</v>
      </c>
      <c r="U72">
        <v>248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8" ht="14.25" x14ac:dyDescent="0.2">
      <c r="C73" s="35" t="s">
        <v>173</v>
      </c>
      <c r="D73" s="3"/>
      <c r="E73" s="139">
        <v>0</v>
      </c>
      <c r="F73" s="139">
        <v>0</v>
      </c>
      <c r="G73" s="140"/>
      <c r="H73" s="140"/>
      <c r="I73" s="140">
        <v>0</v>
      </c>
      <c r="J73" s="139">
        <v>0</v>
      </c>
      <c r="K73" s="139">
        <v>0</v>
      </c>
    </row>
    <row r="74" spans="1:28" x14ac:dyDescent="0.2">
      <c r="C74" s="36" t="s">
        <v>418</v>
      </c>
    </row>
    <row r="75" spans="1:28" ht="99.75" x14ac:dyDescent="0.2">
      <c r="A75" s="149" t="s">
        <v>139</v>
      </c>
      <c r="B75" s="149" t="s">
        <v>1804</v>
      </c>
      <c r="C75" s="145" t="s">
        <v>1805</v>
      </c>
      <c r="D75" s="3">
        <v>1</v>
      </c>
      <c r="E75" s="141">
        <v>15.9</v>
      </c>
      <c r="F75" s="141">
        <v>5.43</v>
      </c>
      <c r="G75" s="140">
        <v>16</v>
      </c>
      <c r="H75" s="140">
        <v>10</v>
      </c>
      <c r="I75" s="142">
        <v>5</v>
      </c>
      <c r="J75" s="141">
        <v>1.03</v>
      </c>
      <c r="K75" s="141">
        <v>1.03</v>
      </c>
      <c r="T75">
        <v>33</v>
      </c>
      <c r="U75">
        <v>1</v>
      </c>
      <c r="V75">
        <v>10</v>
      </c>
      <c r="W75">
        <v>5</v>
      </c>
      <c r="X75">
        <v>1</v>
      </c>
      <c r="Y75">
        <v>1.03</v>
      </c>
      <c r="Z75">
        <v>0.06</v>
      </c>
      <c r="AA75">
        <v>10</v>
      </c>
      <c r="AB75">
        <v>7</v>
      </c>
    </row>
    <row r="76" spans="1:28" ht="14.25" x14ac:dyDescent="0.2">
      <c r="C76" s="35" t="s">
        <v>158</v>
      </c>
      <c r="D76" s="3"/>
      <c r="E76" s="139">
        <v>9.91</v>
      </c>
      <c r="F76" s="139">
        <v>0.76</v>
      </c>
      <c r="G76" s="140"/>
      <c r="H76" s="140"/>
      <c r="I76" s="140">
        <v>1</v>
      </c>
      <c r="J76" s="139">
        <v>0.06</v>
      </c>
      <c r="K76" s="139">
        <v>0.06</v>
      </c>
    </row>
    <row r="77" spans="1:28" x14ac:dyDescent="0.2">
      <c r="C77" s="20" t="s">
        <v>89</v>
      </c>
      <c r="D77" s="37">
        <v>95</v>
      </c>
      <c r="E77" s="144">
        <v>10.1365</v>
      </c>
      <c r="F77" s="37"/>
      <c r="G77" s="143">
        <v>10</v>
      </c>
      <c r="H77" s="37" t="s">
        <v>234</v>
      </c>
      <c r="I77" s="37"/>
      <c r="J77" s="37"/>
      <c r="K77" s="37"/>
    </row>
    <row r="78" spans="1:28" x14ac:dyDescent="0.2">
      <c r="C78" s="20" t="s">
        <v>92</v>
      </c>
      <c r="D78" s="37">
        <v>65</v>
      </c>
      <c r="E78" s="144">
        <v>6.9354999999999993</v>
      </c>
      <c r="F78" s="37"/>
      <c r="G78" s="143">
        <v>7</v>
      </c>
      <c r="H78" s="37" t="s">
        <v>202</v>
      </c>
      <c r="I78" s="37"/>
      <c r="J78" s="37"/>
      <c r="K78" s="37"/>
    </row>
    <row r="79" spans="1:28" x14ac:dyDescent="0.2">
      <c r="C79" s="20" t="s">
        <v>95</v>
      </c>
      <c r="D79" s="37"/>
      <c r="E79" s="144">
        <v>32.972000000000001</v>
      </c>
      <c r="F79" s="37"/>
      <c r="G79" s="143">
        <v>33</v>
      </c>
      <c r="H79" s="37"/>
      <c r="I79" s="37"/>
      <c r="J79" s="37"/>
      <c r="K79" s="37"/>
    </row>
    <row r="80" spans="1:28" ht="99.75" x14ac:dyDescent="0.2">
      <c r="A80" s="149" t="s">
        <v>140</v>
      </c>
      <c r="B80" s="149" t="s">
        <v>1806</v>
      </c>
      <c r="C80" s="145" t="s">
        <v>1807</v>
      </c>
      <c r="D80" s="3">
        <v>1</v>
      </c>
      <c r="E80" s="141">
        <v>168.76</v>
      </c>
      <c r="F80" s="141">
        <v>0</v>
      </c>
      <c r="G80" s="140">
        <v>169</v>
      </c>
      <c r="H80" s="140">
        <v>0</v>
      </c>
      <c r="I80" s="142">
        <v>0</v>
      </c>
      <c r="J80" s="141">
        <v>0</v>
      </c>
      <c r="K80" s="141">
        <v>0</v>
      </c>
      <c r="T80">
        <v>169</v>
      </c>
      <c r="U80">
        <v>169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</row>
    <row r="81" spans="1:28" ht="14.25" x14ac:dyDescent="0.2">
      <c r="C81" s="35" t="s">
        <v>158</v>
      </c>
      <c r="D81" s="3"/>
      <c r="E81" s="139">
        <v>0</v>
      </c>
      <c r="F81" s="139">
        <v>0</v>
      </c>
      <c r="G81" s="140"/>
      <c r="H81" s="140"/>
      <c r="I81" s="140">
        <v>0</v>
      </c>
      <c r="J81" s="139">
        <v>0</v>
      </c>
      <c r="K81" s="139">
        <v>0</v>
      </c>
    </row>
    <row r="82" spans="1:28" ht="99.75" x14ac:dyDescent="0.2">
      <c r="A82" s="149" t="s">
        <v>141</v>
      </c>
      <c r="B82" s="149" t="s">
        <v>1808</v>
      </c>
      <c r="C82" s="145" t="s">
        <v>419</v>
      </c>
      <c r="D82" s="3">
        <v>3.2000000000000001E-2</v>
      </c>
      <c r="E82" s="141">
        <v>583</v>
      </c>
      <c r="F82" s="141">
        <v>95.01</v>
      </c>
      <c r="G82" s="140">
        <v>19</v>
      </c>
      <c r="H82" s="140">
        <v>3</v>
      </c>
      <c r="I82" s="142">
        <v>3</v>
      </c>
      <c r="J82" s="141">
        <v>8.56</v>
      </c>
      <c r="K82" s="141">
        <v>0.27392</v>
      </c>
      <c r="T82">
        <v>26</v>
      </c>
      <c r="U82">
        <v>13</v>
      </c>
      <c r="V82">
        <v>3</v>
      </c>
      <c r="W82">
        <v>3</v>
      </c>
      <c r="X82">
        <v>1</v>
      </c>
      <c r="Y82">
        <v>0.27392</v>
      </c>
      <c r="Z82">
        <v>7.2639999999999996E-2</v>
      </c>
      <c r="AA82">
        <v>4</v>
      </c>
      <c r="AB82">
        <v>3</v>
      </c>
    </row>
    <row r="83" spans="1:28" ht="14.25" x14ac:dyDescent="0.2">
      <c r="C83" s="35" t="s">
        <v>169</v>
      </c>
      <c r="D83" s="3"/>
      <c r="E83" s="139">
        <v>80.459999999999994</v>
      </c>
      <c r="F83" s="139">
        <v>23.33</v>
      </c>
      <c r="G83" s="140"/>
      <c r="H83" s="140"/>
      <c r="I83" s="140">
        <v>1</v>
      </c>
      <c r="J83" s="139">
        <v>2.27</v>
      </c>
      <c r="K83" s="139">
        <v>7.2639999999999996E-2</v>
      </c>
    </row>
    <row r="84" spans="1:28" x14ac:dyDescent="0.2">
      <c r="C84" s="36" t="s">
        <v>420</v>
      </c>
    </row>
    <row r="85" spans="1:28" x14ac:dyDescent="0.2">
      <c r="C85" s="20" t="s">
        <v>89</v>
      </c>
      <c r="D85" s="37">
        <v>95</v>
      </c>
      <c r="E85" s="144">
        <v>98.600499999999997</v>
      </c>
      <c r="F85" s="37"/>
      <c r="G85" s="143">
        <v>4</v>
      </c>
      <c r="H85" s="37" t="s">
        <v>234</v>
      </c>
      <c r="I85" s="37"/>
      <c r="J85" s="37"/>
      <c r="K85" s="37"/>
    </row>
    <row r="86" spans="1:28" x14ac:dyDescent="0.2">
      <c r="C86" s="20" t="s">
        <v>92</v>
      </c>
      <c r="D86" s="37">
        <v>65</v>
      </c>
      <c r="E86" s="144">
        <v>67.463499999999996</v>
      </c>
      <c r="F86" s="37"/>
      <c r="G86" s="143">
        <v>3</v>
      </c>
      <c r="H86" s="37" t="s">
        <v>202</v>
      </c>
      <c r="I86" s="37"/>
      <c r="J86" s="37"/>
      <c r="K86" s="37"/>
    </row>
    <row r="87" spans="1:28" x14ac:dyDescent="0.2">
      <c r="C87" s="20" t="s">
        <v>95</v>
      </c>
      <c r="D87" s="37"/>
      <c r="E87" s="144">
        <v>749.06399999999996</v>
      </c>
      <c r="F87" s="37"/>
      <c r="G87" s="143">
        <v>26</v>
      </c>
      <c r="H87" s="37"/>
      <c r="I87" s="37"/>
      <c r="J87" s="37"/>
      <c r="K87" s="37"/>
    </row>
    <row r="88" spans="1:28" ht="99.75" x14ac:dyDescent="0.2">
      <c r="A88" s="149" t="s">
        <v>142</v>
      </c>
      <c r="B88" s="149" t="s">
        <v>1809</v>
      </c>
      <c r="C88" s="145" t="s">
        <v>1810</v>
      </c>
      <c r="D88" s="3">
        <v>7.0000000000000007E-2</v>
      </c>
      <c r="E88" s="141">
        <v>325</v>
      </c>
      <c r="F88" s="141">
        <v>0</v>
      </c>
      <c r="G88" s="140">
        <v>23</v>
      </c>
      <c r="H88" s="140">
        <v>0</v>
      </c>
      <c r="I88" s="142">
        <v>0</v>
      </c>
      <c r="J88" s="141">
        <v>0</v>
      </c>
      <c r="K88" s="141">
        <v>0</v>
      </c>
      <c r="T88">
        <v>23</v>
      </c>
      <c r="U88">
        <v>23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</row>
    <row r="89" spans="1:28" ht="14.25" x14ac:dyDescent="0.2">
      <c r="C89" s="35" t="s">
        <v>108</v>
      </c>
      <c r="D89" s="3"/>
      <c r="E89" s="139">
        <v>0</v>
      </c>
      <c r="F89" s="139">
        <v>0</v>
      </c>
      <c r="G89" s="140"/>
      <c r="H89" s="140"/>
      <c r="I89" s="140">
        <v>0</v>
      </c>
      <c r="J89" s="139">
        <v>0</v>
      </c>
      <c r="K89" s="139">
        <v>0</v>
      </c>
    </row>
    <row r="90" spans="1:28" x14ac:dyDescent="0.2">
      <c r="C90" s="36" t="s">
        <v>364</v>
      </c>
    </row>
    <row r="91" spans="1:28" ht="99.75" x14ac:dyDescent="0.2">
      <c r="A91" s="149" t="s">
        <v>143</v>
      </c>
      <c r="B91" s="149" t="s">
        <v>1811</v>
      </c>
      <c r="C91" s="145" t="s">
        <v>1812</v>
      </c>
      <c r="D91" s="3">
        <v>0.14000000000000001</v>
      </c>
      <c r="E91" s="141">
        <v>6087.92</v>
      </c>
      <c r="F91" s="141">
        <v>0</v>
      </c>
      <c r="G91" s="140">
        <v>852</v>
      </c>
      <c r="H91" s="140">
        <v>0</v>
      </c>
      <c r="I91" s="142">
        <v>0</v>
      </c>
      <c r="J91" s="141">
        <v>0</v>
      </c>
      <c r="K91" s="141">
        <v>0</v>
      </c>
      <c r="T91">
        <v>852</v>
      </c>
      <c r="U91">
        <v>852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</row>
    <row r="92" spans="1:28" ht="14.25" x14ac:dyDescent="0.2">
      <c r="C92" s="35" t="s">
        <v>108</v>
      </c>
      <c r="D92" s="3"/>
      <c r="E92" s="139">
        <v>0</v>
      </c>
      <c r="F92" s="139">
        <v>0</v>
      </c>
      <c r="G92" s="140"/>
      <c r="H92" s="140"/>
      <c r="I92" s="140">
        <v>0</v>
      </c>
      <c r="J92" s="139">
        <v>0</v>
      </c>
      <c r="K92" s="139">
        <v>0</v>
      </c>
    </row>
    <row r="93" spans="1:28" x14ac:dyDescent="0.2">
      <c r="C93" s="36" t="s">
        <v>421</v>
      </c>
    </row>
    <row r="94" spans="1:28" ht="99.75" x14ac:dyDescent="0.2">
      <c r="A94" s="149" t="s">
        <v>144</v>
      </c>
      <c r="B94" s="149" t="s">
        <v>1813</v>
      </c>
      <c r="C94" s="145" t="s">
        <v>422</v>
      </c>
      <c r="D94" s="3">
        <v>1</v>
      </c>
      <c r="E94" s="141">
        <v>16.79</v>
      </c>
      <c r="F94" s="141">
        <v>1.81</v>
      </c>
      <c r="G94" s="140">
        <v>17</v>
      </c>
      <c r="H94" s="140">
        <v>11</v>
      </c>
      <c r="I94" s="142">
        <v>2</v>
      </c>
      <c r="J94" s="141">
        <v>1.1399999999999999</v>
      </c>
      <c r="K94" s="141">
        <v>1.1399999999999999</v>
      </c>
      <c r="T94">
        <v>34</v>
      </c>
      <c r="U94">
        <v>4</v>
      </c>
      <c r="V94">
        <v>11</v>
      </c>
      <c r="W94">
        <v>2</v>
      </c>
      <c r="X94">
        <v>0</v>
      </c>
      <c r="Y94">
        <v>1.1399999999999999</v>
      </c>
      <c r="Z94">
        <v>0.02</v>
      </c>
      <c r="AA94">
        <v>10</v>
      </c>
      <c r="AB94">
        <v>7</v>
      </c>
    </row>
    <row r="95" spans="1:28" ht="14.25" x14ac:dyDescent="0.2">
      <c r="C95" s="35" t="s">
        <v>158</v>
      </c>
      <c r="D95" s="3"/>
      <c r="E95" s="139">
        <v>11.31</v>
      </c>
      <c r="F95" s="139">
        <v>0.26</v>
      </c>
      <c r="G95" s="140"/>
      <c r="H95" s="140"/>
      <c r="I95" s="140">
        <v>0</v>
      </c>
      <c r="J95" s="139">
        <v>0.02</v>
      </c>
      <c r="K95" s="139">
        <v>0.02</v>
      </c>
    </row>
    <row r="96" spans="1:28" x14ac:dyDescent="0.2">
      <c r="C96" s="20" t="s">
        <v>89</v>
      </c>
      <c r="D96" s="37">
        <v>95</v>
      </c>
      <c r="E96" s="144">
        <v>10.9915</v>
      </c>
      <c r="F96" s="37"/>
      <c r="G96" s="143">
        <v>10</v>
      </c>
      <c r="H96" s="37" t="s">
        <v>234</v>
      </c>
      <c r="I96" s="37"/>
      <c r="J96" s="37"/>
      <c r="K96" s="37"/>
    </row>
    <row r="97" spans="1:28" x14ac:dyDescent="0.2">
      <c r="C97" s="20" t="s">
        <v>92</v>
      </c>
      <c r="D97" s="37">
        <v>65</v>
      </c>
      <c r="E97" s="144">
        <v>7.5205000000000011</v>
      </c>
      <c r="F97" s="37"/>
      <c r="G97" s="143">
        <v>7</v>
      </c>
      <c r="H97" s="37" t="s">
        <v>202</v>
      </c>
      <c r="I97" s="37"/>
      <c r="J97" s="37"/>
      <c r="K97" s="37"/>
    </row>
    <row r="98" spans="1:28" x14ac:dyDescent="0.2">
      <c r="C98" s="20" t="s">
        <v>95</v>
      </c>
      <c r="D98" s="37"/>
      <c r="E98" s="144">
        <v>35.302</v>
      </c>
      <c r="F98" s="37"/>
      <c r="G98" s="143">
        <v>34</v>
      </c>
      <c r="H98" s="37"/>
      <c r="I98" s="37"/>
      <c r="J98" s="37"/>
      <c r="K98" s="37"/>
    </row>
    <row r="99" spans="1:28" ht="99.75" x14ac:dyDescent="0.2">
      <c r="A99" s="149" t="s">
        <v>148</v>
      </c>
      <c r="B99" s="149" t="s">
        <v>1814</v>
      </c>
      <c r="C99" s="145" t="s">
        <v>423</v>
      </c>
      <c r="D99" s="3">
        <v>1</v>
      </c>
      <c r="E99" s="141">
        <v>233.43</v>
      </c>
      <c r="F99" s="141">
        <v>0</v>
      </c>
      <c r="G99" s="140">
        <v>233</v>
      </c>
      <c r="H99" s="140">
        <v>0</v>
      </c>
      <c r="I99" s="142">
        <v>0</v>
      </c>
      <c r="J99" s="141">
        <v>0</v>
      </c>
      <c r="K99" s="141">
        <v>0</v>
      </c>
      <c r="T99">
        <v>233</v>
      </c>
      <c r="U99">
        <v>233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</row>
    <row r="100" spans="1:28" ht="14.25" x14ac:dyDescent="0.2">
      <c r="C100" s="35" t="s">
        <v>158</v>
      </c>
      <c r="D100" s="3"/>
      <c r="E100" s="139">
        <v>0</v>
      </c>
      <c r="F100" s="139">
        <v>0</v>
      </c>
      <c r="G100" s="140"/>
      <c r="H100" s="140"/>
      <c r="I100" s="140">
        <v>0</v>
      </c>
      <c r="J100" s="139">
        <v>0</v>
      </c>
      <c r="K100" s="139">
        <v>0</v>
      </c>
    </row>
    <row r="101" spans="1:28" ht="128.25" x14ac:dyDescent="0.2">
      <c r="A101" s="149" t="s">
        <v>149</v>
      </c>
      <c r="B101" s="149" t="s">
        <v>1815</v>
      </c>
      <c r="C101" s="145" t="s">
        <v>1816</v>
      </c>
      <c r="D101" s="3">
        <v>3</v>
      </c>
      <c r="E101" s="141">
        <v>154.56</v>
      </c>
      <c r="F101" s="141">
        <v>2.91</v>
      </c>
      <c r="G101" s="140">
        <v>464</v>
      </c>
      <c r="H101" s="140">
        <v>72</v>
      </c>
      <c r="I101" s="142">
        <v>9</v>
      </c>
      <c r="J101" s="141">
        <v>2.41</v>
      </c>
      <c r="K101" s="141">
        <v>7.23</v>
      </c>
      <c r="T101">
        <v>580</v>
      </c>
      <c r="U101">
        <v>383</v>
      </c>
      <c r="V101">
        <v>72</v>
      </c>
      <c r="W101">
        <v>9</v>
      </c>
      <c r="X101">
        <v>1</v>
      </c>
      <c r="Y101">
        <v>7.23</v>
      </c>
      <c r="Z101">
        <v>0.06</v>
      </c>
      <c r="AA101">
        <v>69</v>
      </c>
      <c r="AB101">
        <v>47</v>
      </c>
    </row>
    <row r="102" spans="1:28" ht="14.25" x14ac:dyDescent="0.2">
      <c r="C102" s="35" t="s">
        <v>158</v>
      </c>
      <c r="D102" s="3"/>
      <c r="E102" s="139">
        <v>23.91</v>
      </c>
      <c r="F102" s="139">
        <v>0.26</v>
      </c>
      <c r="G102" s="140"/>
      <c r="H102" s="140"/>
      <c r="I102" s="140">
        <v>1</v>
      </c>
      <c r="J102" s="139">
        <v>0.02</v>
      </c>
      <c r="K102" s="139">
        <v>0.06</v>
      </c>
    </row>
    <row r="103" spans="1:28" x14ac:dyDescent="0.2">
      <c r="C103" s="20" t="s">
        <v>89</v>
      </c>
      <c r="D103" s="37">
        <v>95</v>
      </c>
      <c r="E103" s="144">
        <v>22.961500000000001</v>
      </c>
      <c r="F103" s="37"/>
      <c r="G103" s="143">
        <v>69</v>
      </c>
      <c r="H103" s="37" t="s">
        <v>234</v>
      </c>
      <c r="I103" s="37"/>
      <c r="J103" s="37"/>
      <c r="K103" s="37"/>
    </row>
    <row r="104" spans="1:28" x14ac:dyDescent="0.2">
      <c r="C104" s="20" t="s">
        <v>92</v>
      </c>
      <c r="D104" s="37">
        <v>65</v>
      </c>
      <c r="E104" s="144">
        <v>15.710500000000001</v>
      </c>
      <c r="F104" s="37"/>
      <c r="G104" s="143">
        <v>47</v>
      </c>
      <c r="H104" s="37" t="s">
        <v>202</v>
      </c>
      <c r="I104" s="37"/>
      <c r="J104" s="37"/>
      <c r="K104" s="37"/>
    </row>
    <row r="105" spans="1:28" x14ac:dyDescent="0.2">
      <c r="C105" s="20" t="s">
        <v>95</v>
      </c>
      <c r="D105" s="37"/>
      <c r="E105" s="144">
        <v>193.232</v>
      </c>
      <c r="F105" s="37"/>
      <c r="G105" s="143">
        <v>580</v>
      </c>
      <c r="H105" s="37"/>
      <c r="I105" s="37"/>
      <c r="J105" s="37"/>
      <c r="K105" s="37"/>
    </row>
    <row r="106" spans="1:28" ht="99.75" x14ac:dyDescent="0.2">
      <c r="A106" s="149" t="s">
        <v>150</v>
      </c>
      <c r="B106" s="149" t="s">
        <v>1817</v>
      </c>
      <c r="C106" s="145" t="s">
        <v>1818</v>
      </c>
      <c r="D106" s="3">
        <v>3</v>
      </c>
      <c r="E106" s="141">
        <v>280.92</v>
      </c>
      <c r="F106" s="141">
        <v>0</v>
      </c>
      <c r="G106" s="140">
        <v>843</v>
      </c>
      <c r="H106" s="140">
        <v>0</v>
      </c>
      <c r="I106" s="142">
        <v>0</v>
      </c>
      <c r="J106" s="141">
        <v>0</v>
      </c>
      <c r="K106" s="141">
        <v>0</v>
      </c>
      <c r="T106">
        <v>843</v>
      </c>
      <c r="U106">
        <v>843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ht="14.25" x14ac:dyDescent="0.2">
      <c r="C107" s="35" t="s">
        <v>158</v>
      </c>
      <c r="D107" s="3"/>
      <c r="E107" s="139">
        <v>0</v>
      </c>
      <c r="F107" s="139">
        <v>0</v>
      </c>
      <c r="G107" s="140"/>
      <c r="H107" s="140"/>
      <c r="I107" s="140">
        <v>0</v>
      </c>
      <c r="J107" s="139">
        <v>0</v>
      </c>
      <c r="K107" s="139">
        <v>0</v>
      </c>
    </row>
    <row r="109" spans="1:28" ht="15" x14ac:dyDescent="0.25">
      <c r="A109" s="4"/>
      <c r="B109" s="4"/>
      <c r="C109" s="187" t="s">
        <v>424</v>
      </c>
      <c r="D109" s="187"/>
      <c r="E109" s="187"/>
      <c r="F109" s="187"/>
      <c r="G109" s="136">
        <f>IF(SUM(T25:T108)=0, "-", SUM(T25:T108))</f>
        <v>11594</v>
      </c>
      <c r="H109" s="136">
        <f>IF(SUM(V25:V108)=0, "-", SUM(V25:V108))</f>
        <v>608</v>
      </c>
      <c r="I109" s="138">
        <f>IF(SUM(W25:W108)=0, "-", SUM(W25:W108))</f>
        <v>1047</v>
      </c>
      <c r="J109" s="136"/>
      <c r="K109" s="137">
        <f>IF(SUM(Y25:Y108)=0, "-", SUM(Y25:Y108))</f>
        <v>62.667419999999993</v>
      </c>
    </row>
    <row r="110" spans="1:28" ht="15" x14ac:dyDescent="0.25">
      <c r="A110" s="4"/>
      <c r="B110" s="4"/>
      <c r="C110" s="4"/>
      <c r="D110" s="4"/>
      <c r="E110" s="4"/>
      <c r="F110" s="4"/>
      <c r="G110" s="136"/>
      <c r="H110" s="136"/>
      <c r="I110" s="136">
        <f>IF(SUM(X25:X108)=0, "-", SUM(X25:X108))</f>
        <v>141</v>
      </c>
      <c r="J110" s="136"/>
      <c r="K110" s="135">
        <f>IF(SUM(Z25:Z108)=0, "-", SUM(Z25:Z108))</f>
        <v>11.307240000000002</v>
      </c>
    </row>
    <row r="113" spans="1:28" ht="14.25" x14ac:dyDescent="0.2">
      <c r="C113" s="183" t="s">
        <v>127</v>
      </c>
      <c r="D113" s="183"/>
      <c r="E113" s="183"/>
      <c r="F113" s="183"/>
      <c r="G113" s="183"/>
      <c r="H113" s="172">
        <v>608</v>
      </c>
      <c r="I113" s="172"/>
    </row>
    <row r="114" spans="1:28" ht="14.25" x14ac:dyDescent="0.2">
      <c r="C114" s="183" t="s">
        <v>128</v>
      </c>
      <c r="D114" s="183"/>
      <c r="E114" s="183"/>
      <c r="F114" s="183"/>
      <c r="G114" s="183"/>
      <c r="H114" s="172">
        <v>1047</v>
      </c>
      <c r="I114" s="172"/>
    </row>
    <row r="115" spans="1:28" ht="14.25" x14ac:dyDescent="0.2">
      <c r="C115" s="183" t="s">
        <v>129</v>
      </c>
      <c r="D115" s="183"/>
      <c r="E115" s="183"/>
      <c r="F115" s="183"/>
      <c r="G115" s="183"/>
      <c r="H115" s="172">
        <v>8742</v>
      </c>
      <c r="I115" s="172"/>
    </row>
    <row r="116" spans="1:28" ht="14.25" x14ac:dyDescent="0.2">
      <c r="C116" s="183" t="s">
        <v>130</v>
      </c>
      <c r="D116" s="183"/>
      <c r="E116" s="183"/>
      <c r="F116" s="183"/>
      <c r="G116" s="183"/>
      <c r="H116" s="172">
        <v>710</v>
      </c>
      <c r="I116" s="172"/>
    </row>
    <row r="117" spans="1:28" ht="14.25" x14ac:dyDescent="0.2">
      <c r="C117" s="183" t="s">
        <v>131</v>
      </c>
      <c r="D117" s="183"/>
      <c r="E117" s="183"/>
      <c r="F117" s="183"/>
      <c r="G117" s="183"/>
      <c r="H117" s="172">
        <v>487</v>
      </c>
      <c r="I117" s="172"/>
    </row>
    <row r="118" spans="1:28" ht="14.25" x14ac:dyDescent="0.2">
      <c r="C118" s="183" t="s">
        <v>134</v>
      </c>
      <c r="D118" s="183"/>
      <c r="E118" s="183"/>
      <c r="F118" s="183"/>
      <c r="G118" s="183"/>
      <c r="H118" s="172">
        <v>11594</v>
      </c>
      <c r="I118" s="172"/>
    </row>
    <row r="120" spans="1:28" ht="16.5" x14ac:dyDescent="0.25">
      <c r="A120" s="186" t="s">
        <v>425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</row>
    <row r="121" spans="1:28" ht="85.5" x14ac:dyDescent="0.2">
      <c r="A121" s="149" t="s">
        <v>151</v>
      </c>
      <c r="B121" s="149" t="s">
        <v>1738</v>
      </c>
      <c r="C121" s="145" t="s">
        <v>1739</v>
      </c>
      <c r="D121" s="3">
        <v>0.56000000000000005</v>
      </c>
      <c r="E121" s="141">
        <v>145.97999999999999</v>
      </c>
      <c r="F121" s="141">
        <v>2.5</v>
      </c>
      <c r="G121" s="140">
        <v>81</v>
      </c>
      <c r="H121" s="140">
        <v>80</v>
      </c>
      <c r="I121" s="142">
        <v>1</v>
      </c>
      <c r="J121" s="141">
        <v>17.89</v>
      </c>
      <c r="K121" s="141">
        <v>10.018400000000002</v>
      </c>
      <c r="T121">
        <v>203</v>
      </c>
      <c r="U121">
        <v>0</v>
      </c>
      <c r="V121">
        <v>80</v>
      </c>
      <c r="W121">
        <v>1</v>
      </c>
      <c r="X121">
        <v>1</v>
      </c>
      <c r="Y121">
        <v>10.018400000000002</v>
      </c>
      <c r="Z121">
        <v>4.4800000000000006E-2</v>
      </c>
      <c r="AA121">
        <v>69</v>
      </c>
      <c r="AB121">
        <v>53</v>
      </c>
    </row>
    <row r="122" spans="1:28" ht="14.25" x14ac:dyDescent="0.2">
      <c r="C122" s="35" t="s">
        <v>108</v>
      </c>
      <c r="D122" s="3"/>
      <c r="E122" s="139">
        <v>143.47999999999999</v>
      </c>
      <c r="F122" s="139">
        <v>1.08</v>
      </c>
      <c r="G122" s="140"/>
      <c r="H122" s="140"/>
      <c r="I122" s="140">
        <v>1</v>
      </c>
      <c r="J122" s="139">
        <v>0.08</v>
      </c>
      <c r="K122" s="139">
        <v>4.4800000000000006E-2</v>
      </c>
    </row>
    <row r="123" spans="1:28" x14ac:dyDescent="0.2">
      <c r="C123" s="36" t="s">
        <v>1740</v>
      </c>
    </row>
    <row r="124" spans="1:28" x14ac:dyDescent="0.2">
      <c r="C124" s="20" t="s">
        <v>89</v>
      </c>
      <c r="D124" s="37">
        <v>85</v>
      </c>
      <c r="E124" s="144">
        <v>122.876</v>
      </c>
      <c r="F124" s="37"/>
      <c r="G124" s="143">
        <v>69</v>
      </c>
      <c r="H124" s="37" t="s">
        <v>225</v>
      </c>
      <c r="I124" s="37"/>
      <c r="J124" s="37"/>
      <c r="K124" s="37"/>
    </row>
    <row r="125" spans="1:28" x14ac:dyDescent="0.2">
      <c r="C125" s="20" t="s">
        <v>92</v>
      </c>
      <c r="D125" s="37">
        <v>65</v>
      </c>
      <c r="E125" s="144">
        <v>93.963999999999999</v>
      </c>
      <c r="F125" s="37"/>
      <c r="G125" s="143">
        <v>53</v>
      </c>
      <c r="H125" s="37" t="s">
        <v>202</v>
      </c>
      <c r="I125" s="37"/>
      <c r="J125" s="37"/>
      <c r="K125" s="37"/>
    </row>
    <row r="126" spans="1:28" x14ac:dyDescent="0.2">
      <c r="C126" s="20" t="s">
        <v>95</v>
      </c>
      <c r="D126" s="37"/>
      <c r="E126" s="144">
        <v>362.82</v>
      </c>
      <c r="F126" s="37"/>
      <c r="G126" s="143">
        <v>203</v>
      </c>
      <c r="H126" s="37"/>
      <c r="I126" s="37"/>
      <c r="J126" s="37"/>
      <c r="K126" s="37"/>
    </row>
    <row r="127" spans="1:28" ht="99.75" x14ac:dyDescent="0.2">
      <c r="A127" s="149" t="s">
        <v>152</v>
      </c>
      <c r="B127" s="149" t="s">
        <v>1741</v>
      </c>
      <c r="C127" s="145" t="s">
        <v>1742</v>
      </c>
      <c r="D127" s="3">
        <v>0.8</v>
      </c>
      <c r="E127" s="141">
        <v>1485.98</v>
      </c>
      <c r="F127" s="141">
        <v>195.6</v>
      </c>
      <c r="G127" s="140">
        <v>1189</v>
      </c>
      <c r="H127" s="140">
        <v>620</v>
      </c>
      <c r="I127" s="142">
        <v>156</v>
      </c>
      <c r="J127" s="141">
        <v>78.08</v>
      </c>
      <c r="K127" s="141">
        <v>62.463999999999999</v>
      </c>
      <c r="T127">
        <v>2216</v>
      </c>
      <c r="U127">
        <v>413</v>
      </c>
      <c r="V127">
        <v>620</v>
      </c>
      <c r="W127">
        <v>156</v>
      </c>
      <c r="X127">
        <v>22</v>
      </c>
      <c r="Y127">
        <v>62.463999999999999</v>
      </c>
      <c r="Z127">
        <v>1.7280000000000002</v>
      </c>
      <c r="AA127">
        <v>610</v>
      </c>
      <c r="AB127">
        <v>417</v>
      </c>
    </row>
    <row r="128" spans="1:28" ht="14.25" x14ac:dyDescent="0.2">
      <c r="C128" s="35" t="s">
        <v>108</v>
      </c>
      <c r="D128" s="3"/>
      <c r="E128" s="139">
        <v>774.55</v>
      </c>
      <c r="F128" s="139">
        <v>27.11</v>
      </c>
      <c r="G128" s="140"/>
      <c r="H128" s="140"/>
      <c r="I128" s="140">
        <v>22</v>
      </c>
      <c r="J128" s="139">
        <v>2.16</v>
      </c>
      <c r="K128" s="139">
        <v>1.7280000000000002</v>
      </c>
    </row>
    <row r="129" spans="1:28" x14ac:dyDescent="0.2">
      <c r="C129" s="36" t="s">
        <v>426</v>
      </c>
    </row>
    <row r="130" spans="1:28" x14ac:dyDescent="0.2">
      <c r="C130" s="20" t="s">
        <v>89</v>
      </c>
      <c r="D130" s="37">
        <v>95</v>
      </c>
      <c r="E130" s="144">
        <v>761.577</v>
      </c>
      <c r="F130" s="37"/>
      <c r="G130" s="143">
        <v>610</v>
      </c>
      <c r="H130" s="37" t="s">
        <v>234</v>
      </c>
      <c r="I130" s="37"/>
      <c r="J130" s="37"/>
      <c r="K130" s="37"/>
    </row>
    <row r="131" spans="1:28" x14ac:dyDescent="0.2">
      <c r="C131" s="20" t="s">
        <v>92</v>
      </c>
      <c r="D131" s="37">
        <v>65</v>
      </c>
      <c r="E131" s="144">
        <v>521.07900000000006</v>
      </c>
      <c r="F131" s="37"/>
      <c r="G131" s="143">
        <v>417</v>
      </c>
      <c r="H131" s="37" t="s">
        <v>202</v>
      </c>
      <c r="I131" s="37"/>
      <c r="J131" s="37"/>
      <c r="K131" s="37"/>
    </row>
    <row r="132" spans="1:28" x14ac:dyDescent="0.2">
      <c r="C132" s="20" t="s">
        <v>95</v>
      </c>
      <c r="D132" s="37"/>
      <c r="E132" s="144">
        <v>2768.636</v>
      </c>
      <c r="F132" s="37"/>
      <c r="G132" s="143">
        <v>2216</v>
      </c>
      <c r="H132" s="37"/>
      <c r="I132" s="37"/>
      <c r="J132" s="37"/>
      <c r="K132" s="37"/>
    </row>
    <row r="133" spans="1:28" ht="99.75" x14ac:dyDescent="0.2">
      <c r="A133" s="149" t="s">
        <v>154</v>
      </c>
      <c r="B133" s="149" t="s">
        <v>1743</v>
      </c>
      <c r="C133" s="145" t="s">
        <v>1744</v>
      </c>
      <c r="D133" s="3">
        <v>43</v>
      </c>
      <c r="E133" s="141">
        <v>442.9</v>
      </c>
      <c r="F133" s="141">
        <v>0</v>
      </c>
      <c r="G133" s="140">
        <v>19045</v>
      </c>
      <c r="H133" s="140">
        <v>0</v>
      </c>
      <c r="I133" s="142">
        <v>0</v>
      </c>
      <c r="J133" s="141">
        <v>0</v>
      </c>
      <c r="K133" s="141">
        <v>0</v>
      </c>
      <c r="T133">
        <v>19045</v>
      </c>
      <c r="U133">
        <v>19045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</row>
    <row r="134" spans="1:28" ht="14.25" x14ac:dyDescent="0.2">
      <c r="C134" s="35" t="s">
        <v>158</v>
      </c>
      <c r="D134" s="3"/>
      <c r="E134" s="139">
        <v>0</v>
      </c>
      <c r="F134" s="139">
        <v>0</v>
      </c>
      <c r="G134" s="140"/>
      <c r="H134" s="140"/>
      <c r="I134" s="140">
        <v>0</v>
      </c>
      <c r="J134" s="139">
        <v>0</v>
      </c>
      <c r="K134" s="139">
        <v>0</v>
      </c>
    </row>
    <row r="135" spans="1:28" ht="99.75" x14ac:dyDescent="0.2">
      <c r="A135" s="149" t="s">
        <v>155</v>
      </c>
      <c r="B135" s="149" t="s">
        <v>1745</v>
      </c>
      <c r="C135" s="145" t="s">
        <v>1746</v>
      </c>
      <c r="D135" s="3">
        <v>13</v>
      </c>
      <c r="E135" s="141">
        <v>772.2</v>
      </c>
      <c r="F135" s="141">
        <v>0</v>
      </c>
      <c r="G135" s="140">
        <v>10039</v>
      </c>
      <c r="H135" s="140">
        <v>0</v>
      </c>
      <c r="I135" s="142">
        <v>0</v>
      </c>
      <c r="J135" s="141">
        <v>0</v>
      </c>
      <c r="K135" s="141">
        <v>0</v>
      </c>
      <c r="T135">
        <v>10039</v>
      </c>
      <c r="U135">
        <v>10039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ht="14.25" x14ac:dyDescent="0.2">
      <c r="C136" s="35" t="s">
        <v>158</v>
      </c>
      <c r="D136" s="3"/>
      <c r="E136" s="139">
        <v>0</v>
      </c>
      <c r="F136" s="139">
        <v>0</v>
      </c>
      <c r="G136" s="140"/>
      <c r="H136" s="140"/>
      <c r="I136" s="140">
        <v>0</v>
      </c>
      <c r="J136" s="139">
        <v>0</v>
      </c>
      <c r="K136" s="139">
        <v>0</v>
      </c>
    </row>
    <row r="137" spans="1:28" ht="99.75" x14ac:dyDescent="0.2">
      <c r="A137" s="149" t="s">
        <v>156</v>
      </c>
      <c r="B137" s="149" t="s">
        <v>1747</v>
      </c>
      <c r="C137" s="145" t="s">
        <v>1748</v>
      </c>
      <c r="D137" s="3">
        <v>24</v>
      </c>
      <c r="E137" s="141">
        <v>167.68</v>
      </c>
      <c r="F137" s="141">
        <v>0</v>
      </c>
      <c r="G137" s="140">
        <v>4024</v>
      </c>
      <c r="H137" s="140">
        <v>0</v>
      </c>
      <c r="I137" s="142">
        <v>0</v>
      </c>
      <c r="J137" s="141">
        <v>0</v>
      </c>
      <c r="K137" s="141">
        <v>0</v>
      </c>
      <c r="T137">
        <v>4024</v>
      </c>
      <c r="U137">
        <v>4024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</row>
    <row r="138" spans="1:28" ht="14.25" x14ac:dyDescent="0.2">
      <c r="C138" s="35" t="s">
        <v>158</v>
      </c>
      <c r="D138" s="3"/>
      <c r="E138" s="139">
        <v>0</v>
      </c>
      <c r="F138" s="139">
        <v>0</v>
      </c>
      <c r="G138" s="140"/>
      <c r="H138" s="140"/>
      <c r="I138" s="140">
        <v>0</v>
      </c>
      <c r="J138" s="139">
        <v>0</v>
      </c>
      <c r="K138" s="139">
        <v>0</v>
      </c>
    </row>
    <row r="139" spans="1:28" ht="99.75" x14ac:dyDescent="0.2">
      <c r="A139" s="149" t="s">
        <v>159</v>
      </c>
      <c r="B139" s="149" t="s">
        <v>1749</v>
      </c>
      <c r="C139" s="145" t="s">
        <v>1750</v>
      </c>
      <c r="D139" s="3">
        <v>0.05</v>
      </c>
      <c r="E139" s="141">
        <v>1047.3499999999999</v>
      </c>
      <c r="F139" s="141">
        <v>36.22</v>
      </c>
      <c r="G139" s="140">
        <v>53</v>
      </c>
      <c r="H139" s="140">
        <v>44</v>
      </c>
      <c r="I139" s="142">
        <v>2</v>
      </c>
      <c r="J139" s="141">
        <v>88.8</v>
      </c>
      <c r="K139" s="141">
        <v>4.4400000000000004</v>
      </c>
      <c r="T139">
        <v>124</v>
      </c>
      <c r="U139">
        <v>7</v>
      </c>
      <c r="V139">
        <v>44</v>
      </c>
      <c r="W139">
        <v>2</v>
      </c>
      <c r="X139">
        <v>0</v>
      </c>
      <c r="Y139">
        <v>4.4400000000000004</v>
      </c>
      <c r="Z139">
        <v>2.0000000000000004E-2</v>
      </c>
      <c r="AA139">
        <v>42</v>
      </c>
      <c r="AB139">
        <v>29</v>
      </c>
    </row>
    <row r="140" spans="1:28" ht="14.25" x14ac:dyDescent="0.2">
      <c r="C140" s="35" t="s">
        <v>108</v>
      </c>
      <c r="D140" s="3"/>
      <c r="E140" s="139">
        <v>880.9</v>
      </c>
      <c r="F140" s="139">
        <v>5.0199999999999996</v>
      </c>
      <c r="G140" s="140"/>
      <c r="H140" s="140"/>
      <c r="I140" s="140">
        <v>0</v>
      </c>
      <c r="J140" s="139">
        <v>0.4</v>
      </c>
      <c r="K140" s="139">
        <v>2.0000000000000004E-2</v>
      </c>
    </row>
    <row r="141" spans="1:28" x14ac:dyDescent="0.2">
      <c r="C141" s="36" t="s">
        <v>351</v>
      </c>
    </row>
    <row r="142" spans="1:28" x14ac:dyDescent="0.2">
      <c r="C142" s="20" t="s">
        <v>89</v>
      </c>
      <c r="D142" s="37">
        <v>95</v>
      </c>
      <c r="E142" s="144">
        <v>841.62399999999991</v>
      </c>
      <c r="F142" s="37"/>
      <c r="G142" s="143">
        <v>42</v>
      </c>
      <c r="H142" s="37" t="s">
        <v>234</v>
      </c>
      <c r="I142" s="37"/>
      <c r="J142" s="37"/>
      <c r="K142" s="37"/>
    </row>
    <row r="143" spans="1:28" x14ac:dyDescent="0.2">
      <c r="C143" s="20" t="s">
        <v>92</v>
      </c>
      <c r="D143" s="37">
        <v>65</v>
      </c>
      <c r="E143" s="144">
        <v>575.84799999999996</v>
      </c>
      <c r="F143" s="37"/>
      <c r="G143" s="143">
        <v>29</v>
      </c>
      <c r="H143" s="37" t="s">
        <v>202</v>
      </c>
      <c r="I143" s="37"/>
      <c r="J143" s="37"/>
      <c r="K143" s="37"/>
    </row>
    <row r="144" spans="1:28" x14ac:dyDescent="0.2">
      <c r="C144" s="20" t="s">
        <v>95</v>
      </c>
      <c r="D144" s="37"/>
      <c r="E144" s="144">
        <v>2464.8219999999997</v>
      </c>
      <c r="F144" s="37"/>
      <c r="G144" s="143">
        <v>124</v>
      </c>
      <c r="H144" s="37"/>
      <c r="I144" s="37"/>
      <c r="J144" s="37"/>
      <c r="K144" s="37"/>
    </row>
    <row r="145" spans="1:28" ht="99.75" x14ac:dyDescent="0.2">
      <c r="A145" s="149" t="s">
        <v>160</v>
      </c>
      <c r="B145" s="149" t="s">
        <v>1751</v>
      </c>
      <c r="C145" s="145" t="s">
        <v>1752</v>
      </c>
      <c r="D145" s="3">
        <v>5</v>
      </c>
      <c r="E145" s="141">
        <v>157.44</v>
      </c>
      <c r="F145" s="141">
        <v>0</v>
      </c>
      <c r="G145" s="140">
        <v>787</v>
      </c>
      <c r="H145" s="140">
        <v>0</v>
      </c>
      <c r="I145" s="142">
        <v>0</v>
      </c>
      <c r="J145" s="141">
        <v>0</v>
      </c>
      <c r="K145" s="141">
        <v>0</v>
      </c>
      <c r="T145">
        <v>787</v>
      </c>
      <c r="U145">
        <v>787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</row>
    <row r="146" spans="1:28" ht="14.25" x14ac:dyDescent="0.2">
      <c r="C146" s="35" t="s">
        <v>158</v>
      </c>
      <c r="D146" s="3"/>
      <c r="E146" s="139">
        <v>0</v>
      </c>
      <c r="F146" s="139">
        <v>0</v>
      </c>
      <c r="G146" s="140"/>
      <c r="H146" s="140"/>
      <c r="I146" s="140">
        <v>0</v>
      </c>
      <c r="J146" s="139">
        <v>0</v>
      </c>
      <c r="K146" s="139">
        <v>0</v>
      </c>
    </row>
    <row r="147" spans="1:28" ht="99.75" x14ac:dyDescent="0.2">
      <c r="A147" s="149" t="s">
        <v>161</v>
      </c>
      <c r="B147" s="149" t="s">
        <v>1753</v>
      </c>
      <c r="C147" s="145" t="s">
        <v>1754</v>
      </c>
      <c r="D147" s="3">
        <v>0.03</v>
      </c>
      <c r="E147" s="141">
        <v>1373.83</v>
      </c>
      <c r="F147" s="141">
        <v>158.72</v>
      </c>
      <c r="G147" s="140">
        <v>41</v>
      </c>
      <c r="H147" s="140">
        <v>21</v>
      </c>
      <c r="I147" s="142">
        <v>5</v>
      </c>
      <c r="J147" s="141">
        <v>70.64</v>
      </c>
      <c r="K147" s="141">
        <v>2.1191999999999998</v>
      </c>
      <c r="T147">
        <v>76</v>
      </c>
      <c r="U147">
        <v>15</v>
      </c>
      <c r="V147">
        <v>21</v>
      </c>
      <c r="W147">
        <v>5</v>
      </c>
      <c r="X147">
        <v>1</v>
      </c>
      <c r="Y147">
        <v>2.1191999999999998</v>
      </c>
      <c r="Z147">
        <v>5.2499999999999998E-2</v>
      </c>
      <c r="AA147">
        <v>21</v>
      </c>
      <c r="AB147">
        <v>14</v>
      </c>
    </row>
    <row r="148" spans="1:28" ht="14.25" x14ac:dyDescent="0.2">
      <c r="C148" s="35" t="s">
        <v>108</v>
      </c>
      <c r="D148" s="3"/>
      <c r="E148" s="139">
        <v>700.75</v>
      </c>
      <c r="F148" s="139">
        <v>21.97</v>
      </c>
      <c r="G148" s="140"/>
      <c r="H148" s="140"/>
      <c r="I148" s="140">
        <v>1</v>
      </c>
      <c r="J148" s="139">
        <v>1.75</v>
      </c>
      <c r="K148" s="139">
        <v>5.2499999999999998E-2</v>
      </c>
    </row>
    <row r="149" spans="1:28" x14ac:dyDescent="0.2">
      <c r="C149" s="36" t="s">
        <v>157</v>
      </c>
    </row>
    <row r="150" spans="1:28" x14ac:dyDescent="0.2">
      <c r="C150" s="20" t="s">
        <v>89</v>
      </c>
      <c r="D150" s="37">
        <v>95</v>
      </c>
      <c r="E150" s="144">
        <v>686.58400000000006</v>
      </c>
      <c r="F150" s="37"/>
      <c r="G150" s="143">
        <v>21</v>
      </c>
      <c r="H150" s="37" t="s">
        <v>234</v>
      </c>
      <c r="I150" s="37"/>
      <c r="J150" s="37"/>
      <c r="K150" s="37"/>
    </row>
    <row r="151" spans="1:28" x14ac:dyDescent="0.2">
      <c r="C151" s="20" t="s">
        <v>92</v>
      </c>
      <c r="D151" s="37">
        <v>65</v>
      </c>
      <c r="E151" s="144">
        <v>469.76800000000003</v>
      </c>
      <c r="F151" s="37"/>
      <c r="G151" s="143">
        <v>14</v>
      </c>
      <c r="H151" s="37" t="s">
        <v>202</v>
      </c>
      <c r="I151" s="37"/>
      <c r="J151" s="37"/>
      <c r="K151" s="37"/>
    </row>
    <row r="152" spans="1:28" x14ac:dyDescent="0.2">
      <c r="C152" s="20" t="s">
        <v>95</v>
      </c>
      <c r="D152" s="37"/>
      <c r="E152" s="144">
        <v>2530.1819999999998</v>
      </c>
      <c r="F152" s="37"/>
      <c r="G152" s="143">
        <v>76</v>
      </c>
      <c r="H152" s="37"/>
      <c r="I152" s="37"/>
      <c r="J152" s="37"/>
      <c r="K152" s="37"/>
    </row>
    <row r="153" spans="1:28" ht="99.75" x14ac:dyDescent="0.2">
      <c r="A153" s="149" t="s">
        <v>162</v>
      </c>
      <c r="B153" s="149" t="s">
        <v>1755</v>
      </c>
      <c r="C153" s="145" t="s">
        <v>1756</v>
      </c>
      <c r="D153" s="3">
        <v>3</v>
      </c>
      <c r="E153" s="141">
        <v>41.39</v>
      </c>
      <c r="F153" s="141">
        <v>0</v>
      </c>
      <c r="G153" s="140">
        <v>124</v>
      </c>
      <c r="H153" s="140">
        <v>0</v>
      </c>
      <c r="I153" s="142">
        <v>0</v>
      </c>
      <c r="J153" s="141">
        <v>0</v>
      </c>
      <c r="K153" s="141">
        <v>0</v>
      </c>
      <c r="T153">
        <v>124</v>
      </c>
      <c r="U153">
        <v>124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</row>
    <row r="154" spans="1:28" ht="14.25" x14ac:dyDescent="0.2">
      <c r="C154" s="35" t="s">
        <v>158</v>
      </c>
      <c r="D154" s="3"/>
      <c r="E154" s="139">
        <v>0</v>
      </c>
      <c r="F154" s="139">
        <v>0</v>
      </c>
      <c r="G154" s="140"/>
      <c r="H154" s="140"/>
      <c r="I154" s="140">
        <v>0</v>
      </c>
      <c r="J154" s="139">
        <v>0</v>
      </c>
      <c r="K154" s="139">
        <v>0</v>
      </c>
    </row>
    <row r="155" spans="1:28" ht="99.75" x14ac:dyDescent="0.2">
      <c r="A155" s="149" t="s">
        <v>163</v>
      </c>
      <c r="B155" s="149" t="s">
        <v>1757</v>
      </c>
      <c r="C155" s="145" t="s">
        <v>1758</v>
      </c>
      <c r="D155" s="3">
        <v>0.3</v>
      </c>
      <c r="E155" s="141">
        <v>62.95</v>
      </c>
      <c r="F155" s="141">
        <v>0</v>
      </c>
      <c r="G155" s="140">
        <v>19</v>
      </c>
      <c r="H155" s="140">
        <v>0</v>
      </c>
      <c r="I155" s="142">
        <v>0</v>
      </c>
      <c r="J155" s="141">
        <v>0</v>
      </c>
      <c r="K155" s="141">
        <v>0</v>
      </c>
      <c r="T155">
        <v>19</v>
      </c>
      <c r="U155">
        <v>19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</row>
    <row r="156" spans="1:28" ht="14.25" x14ac:dyDescent="0.2">
      <c r="C156" s="35" t="s">
        <v>173</v>
      </c>
      <c r="D156" s="3"/>
      <c r="E156" s="139">
        <v>0</v>
      </c>
      <c r="F156" s="139">
        <v>0</v>
      </c>
      <c r="G156" s="140"/>
      <c r="H156" s="140"/>
      <c r="I156" s="140">
        <v>0</v>
      </c>
      <c r="J156" s="139">
        <v>0</v>
      </c>
      <c r="K156" s="139">
        <v>0</v>
      </c>
    </row>
    <row r="157" spans="1:28" x14ac:dyDescent="0.2">
      <c r="C157" s="36" t="s">
        <v>427</v>
      </c>
    </row>
    <row r="158" spans="1:28" ht="99.75" x14ac:dyDescent="0.2">
      <c r="A158" s="149" t="s">
        <v>165</v>
      </c>
      <c r="B158" s="149" t="s">
        <v>1759</v>
      </c>
      <c r="C158" s="145" t="s">
        <v>428</v>
      </c>
      <c r="D158" s="3">
        <v>0.08</v>
      </c>
      <c r="E158" s="141">
        <v>1335.94</v>
      </c>
      <c r="F158" s="141">
        <v>36.22</v>
      </c>
      <c r="G158" s="140">
        <v>107</v>
      </c>
      <c r="H158" s="140">
        <v>62</v>
      </c>
      <c r="I158" s="142">
        <v>3</v>
      </c>
      <c r="J158" s="141">
        <v>78.56</v>
      </c>
      <c r="K158" s="141">
        <v>6.2848000000000006</v>
      </c>
      <c r="T158">
        <v>206</v>
      </c>
      <c r="U158">
        <v>42</v>
      </c>
      <c r="V158">
        <v>62</v>
      </c>
      <c r="W158">
        <v>3</v>
      </c>
      <c r="X158">
        <v>0</v>
      </c>
      <c r="Y158">
        <v>6.2848000000000006</v>
      </c>
      <c r="Z158">
        <v>3.2000000000000001E-2</v>
      </c>
      <c r="AA158">
        <v>59</v>
      </c>
      <c r="AB158">
        <v>40</v>
      </c>
    </row>
    <row r="159" spans="1:28" ht="14.25" x14ac:dyDescent="0.2">
      <c r="C159" s="35" t="s">
        <v>108</v>
      </c>
      <c r="D159" s="3"/>
      <c r="E159" s="139">
        <v>779.32</v>
      </c>
      <c r="F159" s="139">
        <v>5.0199999999999996</v>
      </c>
      <c r="G159" s="140"/>
      <c r="H159" s="140"/>
      <c r="I159" s="140">
        <v>0</v>
      </c>
      <c r="J159" s="139">
        <v>0.4</v>
      </c>
      <c r="K159" s="139">
        <v>3.2000000000000001E-2</v>
      </c>
    </row>
    <row r="160" spans="1:28" x14ac:dyDescent="0.2">
      <c r="C160" s="36" t="s">
        <v>429</v>
      </c>
    </row>
    <row r="161" spans="1:28" x14ac:dyDescent="0.2">
      <c r="C161" s="20" t="s">
        <v>89</v>
      </c>
      <c r="D161" s="37">
        <v>95</v>
      </c>
      <c r="E161" s="144">
        <v>745.12300000000005</v>
      </c>
      <c r="F161" s="37"/>
      <c r="G161" s="143">
        <v>59</v>
      </c>
      <c r="H161" s="37" t="s">
        <v>234</v>
      </c>
      <c r="I161" s="37"/>
      <c r="J161" s="37"/>
      <c r="K161" s="37"/>
    </row>
    <row r="162" spans="1:28" x14ac:dyDescent="0.2">
      <c r="C162" s="20" t="s">
        <v>92</v>
      </c>
      <c r="D162" s="37">
        <v>65</v>
      </c>
      <c r="E162" s="144">
        <v>509.82099999999997</v>
      </c>
      <c r="F162" s="37"/>
      <c r="G162" s="143">
        <v>40</v>
      </c>
      <c r="H162" s="37" t="s">
        <v>202</v>
      </c>
      <c r="I162" s="37"/>
      <c r="J162" s="37"/>
      <c r="K162" s="37"/>
    </row>
    <row r="163" spans="1:28" x14ac:dyDescent="0.2">
      <c r="C163" s="20" t="s">
        <v>95</v>
      </c>
      <c r="D163" s="37"/>
      <c r="E163" s="144">
        <v>2590.884</v>
      </c>
      <c r="F163" s="37"/>
      <c r="G163" s="143">
        <v>206</v>
      </c>
      <c r="H163" s="37"/>
      <c r="I163" s="37"/>
      <c r="J163" s="37"/>
      <c r="K163" s="37"/>
    </row>
    <row r="164" spans="1:28" ht="99.75" x14ac:dyDescent="0.2">
      <c r="A164" s="149" t="s">
        <v>166</v>
      </c>
      <c r="B164" s="149" t="s">
        <v>1760</v>
      </c>
      <c r="C164" s="145" t="s">
        <v>430</v>
      </c>
      <c r="D164" s="3">
        <v>8</v>
      </c>
      <c r="E164" s="141">
        <v>784.68</v>
      </c>
      <c r="F164" s="141">
        <v>0</v>
      </c>
      <c r="G164" s="140">
        <v>6277</v>
      </c>
      <c r="H164" s="140">
        <v>0</v>
      </c>
      <c r="I164" s="142">
        <v>0</v>
      </c>
      <c r="J164" s="141">
        <v>0</v>
      </c>
      <c r="K164" s="141">
        <v>0</v>
      </c>
      <c r="T164">
        <v>6277</v>
      </c>
      <c r="U164">
        <v>6277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</row>
    <row r="165" spans="1:28" ht="14.25" x14ac:dyDescent="0.2">
      <c r="C165" s="35" t="s">
        <v>158</v>
      </c>
      <c r="D165" s="3"/>
      <c r="E165" s="139">
        <v>0</v>
      </c>
      <c r="F165" s="139">
        <v>0</v>
      </c>
      <c r="G165" s="140"/>
      <c r="H165" s="140"/>
      <c r="I165" s="140">
        <v>0</v>
      </c>
      <c r="J165" s="139">
        <v>0</v>
      </c>
      <c r="K165" s="139">
        <v>0</v>
      </c>
    </row>
    <row r="166" spans="1:28" ht="85.5" x14ac:dyDescent="0.2">
      <c r="A166" s="149" t="s">
        <v>167</v>
      </c>
      <c r="B166" s="149" t="s">
        <v>1761</v>
      </c>
      <c r="C166" s="145" t="s">
        <v>1762</v>
      </c>
      <c r="D166" s="3">
        <v>0.52</v>
      </c>
      <c r="E166" s="141">
        <v>45.55</v>
      </c>
      <c r="F166" s="141">
        <v>0</v>
      </c>
      <c r="G166" s="140">
        <v>24</v>
      </c>
      <c r="H166" s="140">
        <v>24</v>
      </c>
      <c r="I166" s="142">
        <v>0</v>
      </c>
      <c r="J166" s="141">
        <v>5.84</v>
      </c>
      <c r="K166" s="141">
        <v>3.0367999999999999</v>
      </c>
      <c r="T166">
        <v>60</v>
      </c>
      <c r="U166">
        <v>0</v>
      </c>
      <c r="V166">
        <v>24</v>
      </c>
      <c r="W166">
        <v>0</v>
      </c>
      <c r="X166">
        <v>0</v>
      </c>
      <c r="Y166">
        <v>3.0367999999999999</v>
      </c>
      <c r="Z166">
        <v>0</v>
      </c>
      <c r="AA166">
        <v>20</v>
      </c>
      <c r="AB166">
        <v>16</v>
      </c>
    </row>
    <row r="167" spans="1:28" ht="14.25" x14ac:dyDescent="0.2">
      <c r="C167" s="35" t="s">
        <v>108</v>
      </c>
      <c r="D167" s="3"/>
      <c r="E167" s="139">
        <v>45.55</v>
      </c>
      <c r="F167" s="139">
        <v>0</v>
      </c>
      <c r="G167" s="140"/>
      <c r="H167" s="140"/>
      <c r="I167" s="140">
        <v>0</v>
      </c>
      <c r="J167" s="139">
        <v>0</v>
      </c>
      <c r="K167" s="139">
        <v>0</v>
      </c>
    </row>
    <row r="168" spans="1:28" x14ac:dyDescent="0.2">
      <c r="C168" s="36" t="s">
        <v>1763</v>
      </c>
    </row>
    <row r="169" spans="1:28" x14ac:dyDescent="0.2">
      <c r="C169" s="20" t="s">
        <v>89</v>
      </c>
      <c r="D169" s="37">
        <v>85</v>
      </c>
      <c r="E169" s="144">
        <v>38.717499999999994</v>
      </c>
      <c r="F169" s="37"/>
      <c r="G169" s="143">
        <v>20</v>
      </c>
      <c r="H169" s="37" t="s">
        <v>225</v>
      </c>
      <c r="I169" s="37"/>
      <c r="J169" s="37"/>
      <c r="K169" s="37"/>
    </row>
    <row r="170" spans="1:28" x14ac:dyDescent="0.2">
      <c r="C170" s="20" t="s">
        <v>92</v>
      </c>
      <c r="D170" s="37">
        <v>65</v>
      </c>
      <c r="E170" s="144">
        <v>29.607500000000002</v>
      </c>
      <c r="F170" s="37"/>
      <c r="G170" s="143">
        <v>16</v>
      </c>
      <c r="H170" s="37" t="s">
        <v>202</v>
      </c>
      <c r="I170" s="37"/>
      <c r="J170" s="37"/>
      <c r="K170" s="37"/>
    </row>
    <row r="171" spans="1:28" x14ac:dyDescent="0.2">
      <c r="C171" s="20" t="s">
        <v>95</v>
      </c>
      <c r="D171" s="37"/>
      <c r="E171" s="144">
        <v>113.87499999999999</v>
      </c>
      <c r="F171" s="37"/>
      <c r="G171" s="143">
        <v>60</v>
      </c>
      <c r="H171" s="37"/>
      <c r="I171" s="37"/>
      <c r="J171" s="37"/>
      <c r="K171" s="37"/>
    </row>
    <row r="172" spans="1:28" ht="99.75" x14ac:dyDescent="0.2">
      <c r="A172" s="149" t="s">
        <v>168</v>
      </c>
      <c r="B172" s="149" t="s">
        <v>1764</v>
      </c>
      <c r="C172" s="145" t="s">
        <v>1765</v>
      </c>
      <c r="D172" s="3">
        <v>0.13</v>
      </c>
      <c r="E172" s="141">
        <v>295.26</v>
      </c>
      <c r="F172" s="141">
        <v>4.7699999999999996</v>
      </c>
      <c r="G172" s="140">
        <v>39</v>
      </c>
      <c r="H172" s="140">
        <v>33</v>
      </c>
      <c r="I172" s="142">
        <v>1</v>
      </c>
      <c r="J172" s="141">
        <v>25.76</v>
      </c>
      <c r="K172" s="141">
        <v>3.3488000000000002</v>
      </c>
      <c r="T172">
        <v>91</v>
      </c>
      <c r="U172">
        <v>5</v>
      </c>
      <c r="V172">
        <v>33</v>
      </c>
      <c r="W172">
        <v>1</v>
      </c>
      <c r="X172">
        <v>0</v>
      </c>
      <c r="Y172">
        <v>3.3488000000000002</v>
      </c>
      <c r="Z172">
        <v>6.5000000000000006E-3</v>
      </c>
      <c r="AA172">
        <v>31</v>
      </c>
      <c r="AB172">
        <v>21</v>
      </c>
    </row>
    <row r="173" spans="1:28" ht="14.25" x14ac:dyDescent="0.2">
      <c r="C173" s="35" t="s">
        <v>108</v>
      </c>
      <c r="D173" s="3"/>
      <c r="E173" s="139">
        <v>255.54</v>
      </c>
      <c r="F173" s="139">
        <v>0.64</v>
      </c>
      <c r="G173" s="140"/>
      <c r="H173" s="140"/>
      <c r="I173" s="140">
        <v>0</v>
      </c>
      <c r="J173" s="139">
        <v>0.05</v>
      </c>
      <c r="K173" s="139">
        <v>6.5000000000000006E-3</v>
      </c>
    </row>
    <row r="174" spans="1:28" x14ac:dyDescent="0.2">
      <c r="C174" s="36" t="s">
        <v>431</v>
      </c>
    </row>
    <row r="175" spans="1:28" x14ac:dyDescent="0.2">
      <c r="C175" s="20" t="s">
        <v>89</v>
      </c>
      <c r="D175" s="37">
        <v>95</v>
      </c>
      <c r="E175" s="144">
        <v>243.37100000000001</v>
      </c>
      <c r="F175" s="37"/>
      <c r="G175" s="143">
        <v>31</v>
      </c>
      <c r="H175" s="37" t="s">
        <v>234</v>
      </c>
      <c r="I175" s="37"/>
      <c r="J175" s="37"/>
      <c r="K175" s="37"/>
    </row>
    <row r="176" spans="1:28" x14ac:dyDescent="0.2">
      <c r="C176" s="20" t="s">
        <v>92</v>
      </c>
      <c r="D176" s="37">
        <v>65</v>
      </c>
      <c r="E176" s="144">
        <v>166.517</v>
      </c>
      <c r="F176" s="37"/>
      <c r="G176" s="143">
        <v>21</v>
      </c>
      <c r="H176" s="37" t="s">
        <v>202</v>
      </c>
      <c r="I176" s="37"/>
      <c r="J176" s="37"/>
      <c r="K176" s="37"/>
    </row>
    <row r="177" spans="1:28" x14ac:dyDescent="0.2">
      <c r="C177" s="20" t="s">
        <v>95</v>
      </c>
      <c r="D177" s="37"/>
      <c r="E177" s="144">
        <v>705.14800000000002</v>
      </c>
      <c r="F177" s="37"/>
      <c r="G177" s="143">
        <v>91</v>
      </c>
      <c r="H177" s="37"/>
      <c r="I177" s="37"/>
      <c r="J177" s="37"/>
      <c r="K177" s="37"/>
    </row>
    <row r="178" spans="1:28" ht="99.75" x14ac:dyDescent="0.2">
      <c r="A178" s="149" t="s">
        <v>170</v>
      </c>
      <c r="B178" s="149" t="s">
        <v>1766</v>
      </c>
      <c r="C178" s="145" t="s">
        <v>432</v>
      </c>
      <c r="D178" s="3">
        <v>1.3</v>
      </c>
      <c r="E178" s="141">
        <v>62.2</v>
      </c>
      <c r="F178" s="141">
        <v>0</v>
      </c>
      <c r="G178" s="140">
        <v>81</v>
      </c>
      <c r="H178" s="140">
        <v>0</v>
      </c>
      <c r="I178" s="142">
        <v>0</v>
      </c>
      <c r="J178" s="141">
        <v>0</v>
      </c>
      <c r="K178" s="141">
        <v>0</v>
      </c>
      <c r="T178">
        <v>81</v>
      </c>
      <c r="U178">
        <v>81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</row>
    <row r="179" spans="1:28" ht="14.25" x14ac:dyDescent="0.2">
      <c r="C179" s="35" t="s">
        <v>173</v>
      </c>
      <c r="D179" s="3"/>
      <c r="E179" s="139">
        <v>0</v>
      </c>
      <c r="F179" s="139">
        <v>0</v>
      </c>
      <c r="G179" s="140"/>
      <c r="H179" s="140"/>
      <c r="I179" s="140">
        <v>0</v>
      </c>
      <c r="J179" s="139">
        <v>0</v>
      </c>
      <c r="K179" s="139">
        <v>0</v>
      </c>
    </row>
    <row r="180" spans="1:28" x14ac:dyDescent="0.2">
      <c r="C180" s="36" t="s">
        <v>433</v>
      </c>
    </row>
    <row r="181" spans="1:28" ht="99.75" x14ac:dyDescent="0.2">
      <c r="A181" s="149" t="s">
        <v>172</v>
      </c>
      <c r="B181" s="149" t="s">
        <v>1767</v>
      </c>
      <c r="C181" s="145" t="s">
        <v>1768</v>
      </c>
      <c r="D181" s="3">
        <v>0.08</v>
      </c>
      <c r="E181" s="141">
        <v>300.12</v>
      </c>
      <c r="F181" s="141">
        <v>4.7699999999999996</v>
      </c>
      <c r="G181" s="140">
        <v>24</v>
      </c>
      <c r="H181" s="140">
        <v>21</v>
      </c>
      <c r="I181" s="142">
        <v>0</v>
      </c>
      <c r="J181" s="141">
        <v>26.24</v>
      </c>
      <c r="K181" s="141">
        <v>2.0991999999999997</v>
      </c>
      <c r="T181">
        <v>58</v>
      </c>
      <c r="U181">
        <v>3</v>
      </c>
      <c r="V181">
        <v>21</v>
      </c>
      <c r="W181">
        <v>0</v>
      </c>
      <c r="X181">
        <v>0</v>
      </c>
      <c r="Y181">
        <v>2.0991999999999997</v>
      </c>
      <c r="Z181">
        <v>4.0000000000000001E-3</v>
      </c>
      <c r="AA181">
        <v>20</v>
      </c>
      <c r="AB181">
        <v>14</v>
      </c>
    </row>
    <row r="182" spans="1:28" ht="14.25" x14ac:dyDescent="0.2">
      <c r="C182" s="35" t="s">
        <v>108</v>
      </c>
      <c r="D182" s="3"/>
      <c r="E182" s="139">
        <v>260.3</v>
      </c>
      <c r="F182" s="139">
        <v>0.64</v>
      </c>
      <c r="G182" s="140"/>
      <c r="H182" s="140"/>
      <c r="I182" s="140">
        <v>0</v>
      </c>
      <c r="J182" s="139">
        <v>0.05</v>
      </c>
      <c r="K182" s="139">
        <v>4.0000000000000001E-3</v>
      </c>
    </row>
    <row r="183" spans="1:28" x14ac:dyDescent="0.2">
      <c r="C183" s="36" t="s">
        <v>429</v>
      </c>
    </row>
    <row r="184" spans="1:28" x14ac:dyDescent="0.2">
      <c r="C184" s="20" t="s">
        <v>89</v>
      </c>
      <c r="D184" s="37">
        <v>95</v>
      </c>
      <c r="E184" s="144">
        <v>247.893</v>
      </c>
      <c r="F184" s="37"/>
      <c r="G184" s="143">
        <v>20</v>
      </c>
      <c r="H184" s="37" t="s">
        <v>234</v>
      </c>
      <c r="I184" s="37"/>
      <c r="J184" s="37"/>
      <c r="K184" s="37"/>
    </row>
    <row r="185" spans="1:28" x14ac:dyDescent="0.2">
      <c r="C185" s="20" t="s">
        <v>92</v>
      </c>
      <c r="D185" s="37">
        <v>65</v>
      </c>
      <c r="E185" s="144">
        <v>169.61099999999999</v>
      </c>
      <c r="F185" s="37"/>
      <c r="G185" s="143">
        <v>14</v>
      </c>
      <c r="H185" s="37" t="s">
        <v>202</v>
      </c>
      <c r="I185" s="37"/>
      <c r="J185" s="37"/>
      <c r="K185" s="37"/>
    </row>
    <row r="186" spans="1:28" x14ac:dyDescent="0.2">
      <c r="C186" s="20" t="s">
        <v>95</v>
      </c>
      <c r="D186" s="37"/>
      <c r="E186" s="144">
        <v>717.62400000000002</v>
      </c>
      <c r="F186" s="37"/>
      <c r="G186" s="143">
        <v>58</v>
      </c>
      <c r="H186" s="37"/>
      <c r="I186" s="37"/>
      <c r="J186" s="37"/>
      <c r="K186" s="37"/>
    </row>
    <row r="187" spans="1:28" ht="99.75" x14ac:dyDescent="0.2">
      <c r="A187" s="149" t="s">
        <v>174</v>
      </c>
      <c r="B187" s="149" t="s">
        <v>1769</v>
      </c>
      <c r="C187" s="145" t="s">
        <v>434</v>
      </c>
      <c r="D187" s="3">
        <v>0.8</v>
      </c>
      <c r="E187" s="141">
        <v>88.8</v>
      </c>
      <c r="F187" s="141">
        <v>0</v>
      </c>
      <c r="G187" s="140">
        <v>71</v>
      </c>
      <c r="H187" s="140">
        <v>0</v>
      </c>
      <c r="I187" s="142">
        <v>0</v>
      </c>
      <c r="J187" s="141">
        <v>0</v>
      </c>
      <c r="K187" s="141">
        <v>0</v>
      </c>
      <c r="T187">
        <v>71</v>
      </c>
      <c r="U187">
        <v>71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</row>
    <row r="188" spans="1:28" ht="14.25" x14ac:dyDescent="0.2">
      <c r="C188" s="35" t="s">
        <v>173</v>
      </c>
      <c r="D188" s="3"/>
      <c r="E188" s="139">
        <v>0</v>
      </c>
      <c r="F188" s="139">
        <v>0</v>
      </c>
      <c r="G188" s="140"/>
      <c r="H188" s="140"/>
      <c r="I188" s="140">
        <v>0</v>
      </c>
      <c r="J188" s="139">
        <v>0</v>
      </c>
      <c r="K188" s="139">
        <v>0</v>
      </c>
    </row>
    <row r="189" spans="1:28" x14ac:dyDescent="0.2">
      <c r="C189" s="36" t="s">
        <v>435</v>
      </c>
    </row>
    <row r="190" spans="1:28" ht="99.75" x14ac:dyDescent="0.2">
      <c r="A190" s="149" t="s">
        <v>176</v>
      </c>
      <c r="B190" s="149" t="s">
        <v>1770</v>
      </c>
      <c r="C190" s="145" t="s">
        <v>1771</v>
      </c>
      <c r="D190" s="3">
        <v>0.31</v>
      </c>
      <c r="E190" s="141">
        <v>369.35</v>
      </c>
      <c r="F190" s="141">
        <v>4.7699999999999996</v>
      </c>
      <c r="G190" s="140">
        <v>114</v>
      </c>
      <c r="H190" s="140">
        <v>94</v>
      </c>
      <c r="I190" s="142">
        <v>1</v>
      </c>
      <c r="J190" s="141">
        <v>30.48</v>
      </c>
      <c r="K190" s="141">
        <v>9.4488000000000003</v>
      </c>
      <c r="T190">
        <v>264</v>
      </c>
      <c r="U190">
        <v>19</v>
      </c>
      <c r="V190">
        <v>94</v>
      </c>
      <c r="W190">
        <v>1</v>
      </c>
      <c r="X190">
        <v>0</v>
      </c>
      <c r="Y190">
        <v>9.4488000000000003</v>
      </c>
      <c r="Z190">
        <v>1.55E-2</v>
      </c>
      <c r="AA190">
        <v>89</v>
      </c>
      <c r="AB190">
        <v>61</v>
      </c>
    </row>
    <row r="191" spans="1:28" ht="14.25" x14ac:dyDescent="0.2">
      <c r="C191" s="35" t="s">
        <v>108</v>
      </c>
      <c r="D191" s="3"/>
      <c r="E191" s="139">
        <v>302.36</v>
      </c>
      <c r="F191" s="139">
        <v>0.64</v>
      </c>
      <c r="G191" s="140"/>
      <c r="H191" s="140"/>
      <c r="I191" s="140">
        <v>0</v>
      </c>
      <c r="J191" s="139">
        <v>0.05</v>
      </c>
      <c r="K191" s="139">
        <v>1.55E-2</v>
      </c>
    </row>
    <row r="192" spans="1:28" x14ac:dyDescent="0.2">
      <c r="C192" s="36" t="s">
        <v>436</v>
      </c>
    </row>
    <row r="193" spans="1:28" x14ac:dyDescent="0.2">
      <c r="C193" s="20" t="s">
        <v>89</v>
      </c>
      <c r="D193" s="37">
        <v>95</v>
      </c>
      <c r="E193" s="144">
        <v>287.85000000000002</v>
      </c>
      <c r="F193" s="37"/>
      <c r="G193" s="143">
        <v>89</v>
      </c>
      <c r="H193" s="37" t="s">
        <v>234</v>
      </c>
      <c r="I193" s="37"/>
      <c r="J193" s="37"/>
      <c r="K193" s="37"/>
    </row>
    <row r="194" spans="1:28" x14ac:dyDescent="0.2">
      <c r="C194" s="20" t="s">
        <v>92</v>
      </c>
      <c r="D194" s="37">
        <v>65</v>
      </c>
      <c r="E194" s="144">
        <v>196.95</v>
      </c>
      <c r="F194" s="37"/>
      <c r="G194" s="143">
        <v>61</v>
      </c>
      <c r="H194" s="37" t="s">
        <v>202</v>
      </c>
      <c r="I194" s="37"/>
      <c r="J194" s="37"/>
      <c r="K194" s="37"/>
    </row>
    <row r="195" spans="1:28" x14ac:dyDescent="0.2">
      <c r="C195" s="20" t="s">
        <v>95</v>
      </c>
      <c r="D195" s="37"/>
      <c r="E195" s="144">
        <v>854.15000000000009</v>
      </c>
      <c r="F195" s="37"/>
      <c r="G195" s="143">
        <v>264</v>
      </c>
      <c r="H195" s="37"/>
      <c r="I195" s="37"/>
      <c r="J195" s="37"/>
      <c r="K195" s="37"/>
    </row>
    <row r="196" spans="1:28" ht="99.75" x14ac:dyDescent="0.2">
      <c r="A196" s="149" t="s">
        <v>177</v>
      </c>
      <c r="B196" s="149" t="s">
        <v>1772</v>
      </c>
      <c r="C196" s="145" t="s">
        <v>1773</v>
      </c>
      <c r="D196" s="3">
        <v>0.31</v>
      </c>
      <c r="E196" s="141">
        <v>930</v>
      </c>
      <c r="F196" s="141">
        <v>0</v>
      </c>
      <c r="G196" s="140">
        <v>288</v>
      </c>
      <c r="H196" s="140">
        <v>0</v>
      </c>
      <c r="I196" s="142">
        <v>0</v>
      </c>
      <c r="J196" s="141">
        <v>0</v>
      </c>
      <c r="K196" s="141">
        <v>0</v>
      </c>
      <c r="T196">
        <v>288</v>
      </c>
      <c r="U196">
        <v>288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</row>
    <row r="197" spans="1:28" ht="14.25" x14ac:dyDescent="0.2">
      <c r="C197" s="35" t="s">
        <v>108</v>
      </c>
      <c r="D197" s="3"/>
      <c r="E197" s="139">
        <v>0</v>
      </c>
      <c r="F197" s="139">
        <v>0</v>
      </c>
      <c r="G197" s="140"/>
      <c r="H197" s="140"/>
      <c r="I197" s="140">
        <v>0</v>
      </c>
      <c r="J197" s="139">
        <v>0</v>
      </c>
      <c r="K197" s="139">
        <v>0</v>
      </c>
    </row>
    <row r="198" spans="1:28" x14ac:dyDescent="0.2">
      <c r="C198" s="36" t="s">
        <v>436</v>
      </c>
    </row>
    <row r="199" spans="1:28" ht="99.75" x14ac:dyDescent="0.2">
      <c r="A199" s="149" t="s">
        <v>178</v>
      </c>
      <c r="B199" s="149" t="s">
        <v>1774</v>
      </c>
      <c r="C199" s="145" t="s">
        <v>1775</v>
      </c>
      <c r="D199" s="3">
        <v>0.04</v>
      </c>
      <c r="E199" s="141">
        <v>454.03</v>
      </c>
      <c r="F199" s="141">
        <v>4.7699999999999996</v>
      </c>
      <c r="G199" s="140">
        <v>18</v>
      </c>
      <c r="H199" s="140">
        <v>14</v>
      </c>
      <c r="I199" s="142">
        <v>0</v>
      </c>
      <c r="J199" s="141">
        <v>34.56</v>
      </c>
      <c r="K199" s="141">
        <v>1.3824000000000001</v>
      </c>
      <c r="T199">
        <v>40</v>
      </c>
      <c r="U199">
        <v>4</v>
      </c>
      <c r="V199">
        <v>14</v>
      </c>
      <c r="W199">
        <v>0</v>
      </c>
      <c r="X199">
        <v>0</v>
      </c>
      <c r="Y199">
        <v>1.3824000000000001</v>
      </c>
      <c r="Z199">
        <v>2E-3</v>
      </c>
      <c r="AA199">
        <v>13</v>
      </c>
      <c r="AB199">
        <v>9</v>
      </c>
    </row>
    <row r="200" spans="1:28" ht="14.25" x14ac:dyDescent="0.2">
      <c r="C200" s="35" t="s">
        <v>108</v>
      </c>
      <c r="D200" s="3"/>
      <c r="E200" s="139">
        <v>342.84</v>
      </c>
      <c r="F200" s="139">
        <v>0.64</v>
      </c>
      <c r="G200" s="140"/>
      <c r="H200" s="140"/>
      <c r="I200" s="140">
        <v>0</v>
      </c>
      <c r="J200" s="139">
        <v>0.05</v>
      </c>
      <c r="K200" s="139">
        <v>2E-3</v>
      </c>
    </row>
    <row r="201" spans="1:28" x14ac:dyDescent="0.2">
      <c r="C201" s="36" t="s">
        <v>437</v>
      </c>
    </row>
    <row r="202" spans="1:28" x14ac:dyDescent="0.2">
      <c r="C202" s="20" t="s">
        <v>89</v>
      </c>
      <c r="D202" s="37">
        <v>95</v>
      </c>
      <c r="E202" s="144">
        <v>326.30599999999993</v>
      </c>
      <c r="F202" s="37"/>
      <c r="G202" s="143">
        <v>13</v>
      </c>
      <c r="H202" s="37" t="s">
        <v>234</v>
      </c>
      <c r="I202" s="37"/>
      <c r="J202" s="37"/>
      <c r="K202" s="37"/>
    </row>
    <row r="203" spans="1:28" x14ac:dyDescent="0.2">
      <c r="C203" s="20" t="s">
        <v>92</v>
      </c>
      <c r="D203" s="37">
        <v>65</v>
      </c>
      <c r="E203" s="144">
        <v>223.26199999999997</v>
      </c>
      <c r="F203" s="37"/>
      <c r="G203" s="143">
        <v>9</v>
      </c>
      <c r="H203" s="37" t="s">
        <v>202</v>
      </c>
      <c r="I203" s="37"/>
      <c r="J203" s="37"/>
      <c r="K203" s="37"/>
    </row>
    <row r="204" spans="1:28" x14ac:dyDescent="0.2">
      <c r="C204" s="20" t="s">
        <v>95</v>
      </c>
      <c r="D204" s="37"/>
      <c r="E204" s="144">
        <v>1003.5979999999998</v>
      </c>
      <c r="F204" s="37"/>
      <c r="G204" s="143">
        <v>40</v>
      </c>
      <c r="H204" s="37"/>
      <c r="I204" s="37"/>
      <c r="J204" s="37"/>
      <c r="K204" s="37"/>
    </row>
    <row r="205" spans="1:28" ht="99.75" x14ac:dyDescent="0.2">
      <c r="A205" s="149" t="s">
        <v>179</v>
      </c>
      <c r="B205" s="149" t="s">
        <v>1776</v>
      </c>
      <c r="C205" s="145" t="s">
        <v>1777</v>
      </c>
      <c r="D205" s="3">
        <v>0.04</v>
      </c>
      <c r="E205" s="141">
        <v>3803.54</v>
      </c>
      <c r="F205" s="141">
        <v>0</v>
      </c>
      <c r="G205" s="140">
        <v>152</v>
      </c>
      <c r="H205" s="140">
        <v>0</v>
      </c>
      <c r="I205" s="142">
        <v>0</v>
      </c>
      <c r="J205" s="141">
        <v>0</v>
      </c>
      <c r="K205" s="141">
        <v>0</v>
      </c>
      <c r="T205">
        <v>152</v>
      </c>
      <c r="U205">
        <v>152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</row>
    <row r="206" spans="1:28" ht="14.25" x14ac:dyDescent="0.2">
      <c r="C206" s="35" t="s">
        <v>108</v>
      </c>
      <c r="D206" s="3"/>
      <c r="E206" s="139">
        <v>0</v>
      </c>
      <c r="F206" s="139">
        <v>0</v>
      </c>
      <c r="G206" s="140"/>
      <c r="H206" s="140"/>
      <c r="I206" s="140">
        <v>0</v>
      </c>
      <c r="J206" s="139">
        <v>0</v>
      </c>
      <c r="K206" s="139">
        <v>0</v>
      </c>
    </row>
    <row r="207" spans="1:28" x14ac:dyDescent="0.2">
      <c r="C207" s="36" t="s">
        <v>437</v>
      </c>
    </row>
    <row r="208" spans="1:28" ht="99.75" x14ac:dyDescent="0.2">
      <c r="A208" s="149" t="s">
        <v>181</v>
      </c>
      <c r="B208" s="149" t="s">
        <v>1778</v>
      </c>
      <c r="C208" s="145" t="s">
        <v>438</v>
      </c>
      <c r="D208" s="3">
        <v>56</v>
      </c>
      <c r="E208" s="141">
        <v>8.31</v>
      </c>
      <c r="F208" s="141">
        <v>0</v>
      </c>
      <c r="G208" s="140">
        <v>465</v>
      </c>
      <c r="H208" s="140">
        <v>0</v>
      </c>
      <c r="I208" s="142">
        <v>0</v>
      </c>
      <c r="J208" s="141">
        <v>0</v>
      </c>
      <c r="K208" s="141">
        <v>0</v>
      </c>
      <c r="T208">
        <v>465</v>
      </c>
      <c r="U208">
        <v>465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</row>
    <row r="209" spans="1:28" ht="14.25" x14ac:dyDescent="0.2">
      <c r="C209" s="35" t="s">
        <v>158</v>
      </c>
      <c r="D209" s="3"/>
      <c r="E209" s="139">
        <v>0</v>
      </c>
      <c r="F209" s="139">
        <v>0</v>
      </c>
      <c r="G209" s="140"/>
      <c r="H209" s="140"/>
      <c r="I209" s="140">
        <v>0</v>
      </c>
      <c r="J209" s="139">
        <v>0</v>
      </c>
      <c r="K209" s="139">
        <v>0</v>
      </c>
    </row>
    <row r="210" spans="1:28" ht="99.75" x14ac:dyDescent="0.2">
      <c r="A210" s="149" t="s">
        <v>183</v>
      </c>
      <c r="B210" s="149" t="s">
        <v>1779</v>
      </c>
      <c r="C210" s="145" t="s">
        <v>439</v>
      </c>
      <c r="D210" s="3">
        <v>8</v>
      </c>
      <c r="E210" s="141">
        <v>5.54</v>
      </c>
      <c r="F210" s="141">
        <v>0</v>
      </c>
      <c r="G210" s="140">
        <v>44</v>
      </c>
      <c r="H210" s="140">
        <v>0</v>
      </c>
      <c r="I210" s="142">
        <v>0</v>
      </c>
      <c r="J210" s="141">
        <v>0</v>
      </c>
      <c r="K210" s="141">
        <v>0</v>
      </c>
      <c r="T210">
        <v>44</v>
      </c>
      <c r="U210">
        <v>44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</row>
    <row r="211" spans="1:28" ht="14.25" x14ac:dyDescent="0.2">
      <c r="C211" s="35" t="s">
        <v>158</v>
      </c>
      <c r="D211" s="3"/>
      <c r="E211" s="139">
        <v>0</v>
      </c>
      <c r="F211" s="139">
        <v>0</v>
      </c>
      <c r="G211" s="140"/>
      <c r="H211" s="140"/>
      <c r="I211" s="140">
        <v>0</v>
      </c>
      <c r="J211" s="139">
        <v>0</v>
      </c>
      <c r="K211" s="139">
        <v>0</v>
      </c>
    </row>
    <row r="212" spans="1:28" ht="99.75" x14ac:dyDescent="0.2">
      <c r="A212" s="149" t="s">
        <v>185</v>
      </c>
      <c r="B212" s="149" t="s">
        <v>1780</v>
      </c>
      <c r="C212" s="145" t="s">
        <v>1781</v>
      </c>
      <c r="D212" s="3">
        <v>2</v>
      </c>
      <c r="E212" s="141">
        <v>53.51</v>
      </c>
      <c r="F212" s="141">
        <v>1.05</v>
      </c>
      <c r="G212" s="140">
        <v>107</v>
      </c>
      <c r="H212" s="140">
        <v>34</v>
      </c>
      <c r="I212" s="142">
        <v>2</v>
      </c>
      <c r="J212" s="141">
        <v>1.8</v>
      </c>
      <c r="K212" s="141">
        <v>3.6</v>
      </c>
      <c r="T212">
        <v>161</v>
      </c>
      <c r="U212">
        <v>71</v>
      </c>
      <c r="V212">
        <v>34</v>
      </c>
      <c r="W212">
        <v>2</v>
      </c>
      <c r="X212">
        <v>0</v>
      </c>
      <c r="Y212">
        <v>3.6</v>
      </c>
      <c r="Z212">
        <v>0</v>
      </c>
      <c r="AA212">
        <v>32</v>
      </c>
      <c r="AB212">
        <v>22</v>
      </c>
    </row>
    <row r="213" spans="1:28" ht="14.25" x14ac:dyDescent="0.2">
      <c r="C213" s="35" t="s">
        <v>158</v>
      </c>
      <c r="D213" s="3"/>
      <c r="E213" s="139">
        <v>17.12</v>
      </c>
      <c r="F213" s="139">
        <v>0</v>
      </c>
      <c r="G213" s="140"/>
      <c r="H213" s="140"/>
      <c r="I213" s="140">
        <v>0</v>
      </c>
      <c r="J213" s="139">
        <v>0</v>
      </c>
      <c r="K213" s="139">
        <v>0</v>
      </c>
    </row>
    <row r="214" spans="1:28" x14ac:dyDescent="0.2">
      <c r="C214" s="20" t="s">
        <v>89</v>
      </c>
      <c r="D214" s="37">
        <v>95</v>
      </c>
      <c r="E214" s="144">
        <v>16.263999999999999</v>
      </c>
      <c r="F214" s="37"/>
      <c r="G214" s="143">
        <v>32</v>
      </c>
      <c r="H214" s="37" t="s">
        <v>234</v>
      </c>
      <c r="I214" s="37"/>
      <c r="J214" s="37"/>
      <c r="K214" s="37"/>
    </row>
    <row r="215" spans="1:28" x14ac:dyDescent="0.2">
      <c r="C215" s="20" t="s">
        <v>92</v>
      </c>
      <c r="D215" s="37">
        <v>65</v>
      </c>
      <c r="E215" s="144">
        <v>11.128</v>
      </c>
      <c r="F215" s="37"/>
      <c r="G215" s="143">
        <v>22</v>
      </c>
      <c r="H215" s="37" t="s">
        <v>202</v>
      </c>
      <c r="I215" s="37"/>
      <c r="J215" s="37"/>
      <c r="K215" s="37"/>
    </row>
    <row r="216" spans="1:28" x14ac:dyDescent="0.2">
      <c r="C216" s="20" t="s">
        <v>95</v>
      </c>
      <c r="D216" s="37"/>
      <c r="E216" s="144">
        <v>80.902000000000001</v>
      </c>
      <c r="F216" s="37"/>
      <c r="G216" s="143">
        <v>161</v>
      </c>
      <c r="H216" s="37"/>
      <c r="I216" s="37"/>
      <c r="J216" s="37"/>
      <c r="K216" s="37"/>
    </row>
    <row r="217" spans="1:28" ht="99.75" x14ac:dyDescent="0.2">
      <c r="A217" s="149" t="s">
        <v>186</v>
      </c>
      <c r="B217" s="149" t="s">
        <v>1782</v>
      </c>
      <c r="C217" s="145" t="s">
        <v>1783</v>
      </c>
      <c r="D217" s="3">
        <v>2</v>
      </c>
      <c r="E217" s="141">
        <v>414.82</v>
      </c>
      <c r="F217" s="141">
        <v>0</v>
      </c>
      <c r="G217" s="140">
        <v>830</v>
      </c>
      <c r="H217" s="140">
        <v>0</v>
      </c>
      <c r="I217" s="142">
        <v>0</v>
      </c>
      <c r="J217" s="141">
        <v>0</v>
      </c>
      <c r="K217" s="141">
        <v>0</v>
      </c>
      <c r="T217">
        <v>830</v>
      </c>
      <c r="U217">
        <v>830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</row>
    <row r="218" spans="1:28" ht="14.25" x14ac:dyDescent="0.2">
      <c r="C218" s="35" t="s">
        <v>158</v>
      </c>
      <c r="D218" s="3"/>
      <c r="E218" s="139">
        <v>0</v>
      </c>
      <c r="F218" s="139">
        <v>0</v>
      </c>
      <c r="G218" s="140"/>
      <c r="H218" s="140"/>
      <c r="I218" s="140">
        <v>0</v>
      </c>
      <c r="J218" s="139">
        <v>0</v>
      </c>
      <c r="K218" s="139">
        <v>0</v>
      </c>
    </row>
    <row r="220" spans="1:28" ht="15" x14ac:dyDescent="0.25">
      <c r="A220" s="4"/>
      <c r="B220" s="4"/>
      <c r="C220" s="187" t="s">
        <v>440</v>
      </c>
      <c r="D220" s="187"/>
      <c r="E220" s="187"/>
      <c r="F220" s="187"/>
      <c r="G220" s="136">
        <f>IF(SUM(T120:T219)=0, "-", SUM(T120:T219))</f>
        <v>45745</v>
      </c>
      <c r="H220" s="136">
        <f>IF(SUM(V120:V219)=0, "-", SUM(V120:V219))</f>
        <v>1047</v>
      </c>
      <c r="I220" s="138">
        <f>IF(SUM(W120:W219)=0, "-", SUM(W120:W219))</f>
        <v>171</v>
      </c>
      <c r="J220" s="136"/>
      <c r="K220" s="137">
        <f>IF(SUM(Y120:Y219)=0, "-", SUM(Y120:Y219))</f>
        <v>108.2424</v>
      </c>
    </row>
    <row r="221" spans="1:28" ht="15" x14ac:dyDescent="0.25">
      <c r="A221" s="4"/>
      <c r="B221" s="4"/>
      <c r="C221" s="4"/>
      <c r="D221" s="4"/>
      <c r="E221" s="4"/>
      <c r="F221" s="4"/>
      <c r="G221" s="136"/>
      <c r="H221" s="136"/>
      <c r="I221" s="136">
        <f>IF(SUM(X120:X219)=0, "-", SUM(X120:X219))</f>
        <v>24</v>
      </c>
      <c r="J221" s="136"/>
      <c r="K221" s="135">
        <f>IF(SUM(Z120:Z219)=0, "-", SUM(Z120:Z219))</f>
        <v>1.9053000000000002</v>
      </c>
    </row>
    <row r="224" spans="1:28" ht="14.25" x14ac:dyDescent="0.2">
      <c r="C224" s="183" t="s">
        <v>127</v>
      </c>
      <c r="D224" s="183"/>
      <c r="E224" s="183"/>
      <c r="F224" s="183"/>
      <c r="G224" s="183"/>
      <c r="H224" s="172">
        <v>1047</v>
      </c>
      <c r="I224" s="172"/>
    </row>
    <row r="225" spans="1:28" ht="14.25" x14ac:dyDescent="0.2">
      <c r="C225" s="183" t="s">
        <v>128</v>
      </c>
      <c r="D225" s="183"/>
      <c r="E225" s="183"/>
      <c r="F225" s="183"/>
      <c r="G225" s="183"/>
      <c r="H225" s="172">
        <v>171</v>
      </c>
      <c r="I225" s="172"/>
    </row>
    <row r="226" spans="1:28" ht="14.25" x14ac:dyDescent="0.2">
      <c r="C226" s="183" t="s">
        <v>129</v>
      </c>
      <c r="D226" s="183"/>
      <c r="E226" s="183"/>
      <c r="F226" s="183"/>
      <c r="G226" s="183"/>
      <c r="H226" s="172">
        <v>42825</v>
      </c>
      <c r="I226" s="172"/>
    </row>
    <row r="227" spans="1:28" ht="14.25" x14ac:dyDescent="0.2">
      <c r="C227" s="183" t="s">
        <v>130</v>
      </c>
      <c r="D227" s="183"/>
      <c r="E227" s="183"/>
      <c r="F227" s="183"/>
      <c r="G227" s="183"/>
      <c r="H227" s="172">
        <v>1006</v>
      </c>
      <c r="I227" s="172"/>
    </row>
    <row r="228" spans="1:28" ht="14.25" x14ac:dyDescent="0.2">
      <c r="C228" s="183" t="s">
        <v>131</v>
      </c>
      <c r="D228" s="183"/>
      <c r="E228" s="183"/>
      <c r="F228" s="183"/>
      <c r="G228" s="183"/>
      <c r="H228" s="172">
        <v>696</v>
      </c>
      <c r="I228" s="172"/>
    </row>
    <row r="229" spans="1:28" ht="14.25" x14ac:dyDescent="0.2">
      <c r="C229" s="183" t="s">
        <v>134</v>
      </c>
      <c r="D229" s="183"/>
      <c r="E229" s="183"/>
      <c r="F229" s="183"/>
      <c r="G229" s="183"/>
      <c r="H229" s="172">
        <v>45745</v>
      </c>
      <c r="I229" s="172"/>
    </row>
    <row r="231" spans="1:28" ht="16.5" x14ac:dyDescent="0.25">
      <c r="A231" s="186" t="s">
        <v>441</v>
      </c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</row>
    <row r="232" spans="1:28" ht="99.75" x14ac:dyDescent="0.2">
      <c r="A232" s="149" t="s">
        <v>187</v>
      </c>
      <c r="B232" s="149" t="s">
        <v>1692</v>
      </c>
      <c r="C232" s="145" t="s">
        <v>1693</v>
      </c>
      <c r="D232" s="3">
        <v>19.25</v>
      </c>
      <c r="E232" s="141">
        <v>199.8</v>
      </c>
      <c r="F232" s="141">
        <v>3.62</v>
      </c>
      <c r="G232" s="140">
        <v>3847</v>
      </c>
      <c r="H232" s="140">
        <v>2986</v>
      </c>
      <c r="I232" s="142">
        <v>70</v>
      </c>
      <c r="J232" s="141">
        <v>16.5</v>
      </c>
      <c r="K232" s="141">
        <v>317.625</v>
      </c>
      <c r="T232">
        <v>8640</v>
      </c>
      <c r="U232">
        <v>791</v>
      </c>
      <c r="V232">
        <v>2986</v>
      </c>
      <c r="W232">
        <v>70</v>
      </c>
      <c r="X232">
        <v>10</v>
      </c>
      <c r="Y232">
        <v>317.625</v>
      </c>
      <c r="Z232">
        <v>0.77</v>
      </c>
      <c r="AA232">
        <v>2846</v>
      </c>
      <c r="AB232">
        <v>1947</v>
      </c>
    </row>
    <row r="233" spans="1:28" ht="14.25" x14ac:dyDescent="0.2">
      <c r="C233" s="35" t="s">
        <v>169</v>
      </c>
      <c r="D233" s="3"/>
      <c r="E233" s="139">
        <v>155.1</v>
      </c>
      <c r="F233" s="139">
        <v>0.5</v>
      </c>
      <c r="G233" s="140"/>
      <c r="H233" s="140"/>
      <c r="I233" s="140">
        <v>10</v>
      </c>
      <c r="J233" s="139">
        <v>0.04</v>
      </c>
      <c r="K233" s="139">
        <v>0.77</v>
      </c>
    </row>
    <row r="234" spans="1:28" x14ac:dyDescent="0.2">
      <c r="C234" s="36" t="s">
        <v>442</v>
      </c>
    </row>
    <row r="235" spans="1:28" x14ac:dyDescent="0.2">
      <c r="C235" s="20" t="s">
        <v>89</v>
      </c>
      <c r="D235" s="37">
        <v>95</v>
      </c>
      <c r="E235" s="144">
        <v>147.82</v>
      </c>
      <c r="F235" s="37"/>
      <c r="G235" s="143">
        <v>2846</v>
      </c>
      <c r="H235" s="37" t="s">
        <v>234</v>
      </c>
      <c r="I235" s="37"/>
      <c r="J235" s="37"/>
      <c r="K235" s="37"/>
    </row>
    <row r="236" spans="1:28" x14ac:dyDescent="0.2">
      <c r="C236" s="20" t="s">
        <v>92</v>
      </c>
      <c r="D236" s="37">
        <v>65</v>
      </c>
      <c r="E236" s="144">
        <v>101.14</v>
      </c>
      <c r="F236" s="37"/>
      <c r="G236" s="143">
        <v>1947</v>
      </c>
      <c r="H236" s="37" t="s">
        <v>202</v>
      </c>
      <c r="I236" s="37"/>
      <c r="J236" s="37"/>
      <c r="K236" s="37"/>
    </row>
    <row r="237" spans="1:28" x14ac:dyDescent="0.2">
      <c r="C237" s="20" t="s">
        <v>95</v>
      </c>
      <c r="D237" s="37"/>
      <c r="E237" s="144">
        <v>448.76</v>
      </c>
      <c r="F237" s="37"/>
      <c r="G237" s="143">
        <v>8640</v>
      </c>
      <c r="H237" s="37"/>
      <c r="I237" s="37"/>
      <c r="J237" s="37"/>
      <c r="K237" s="37"/>
    </row>
    <row r="238" spans="1:28" ht="99.75" x14ac:dyDescent="0.2">
      <c r="A238" s="149" t="s">
        <v>189</v>
      </c>
      <c r="B238" s="149" t="s">
        <v>1694</v>
      </c>
      <c r="C238" s="145" t="s">
        <v>443</v>
      </c>
      <c r="D238" s="3">
        <v>0.01</v>
      </c>
      <c r="E238" s="141">
        <v>18047.849999999999</v>
      </c>
      <c r="F238" s="141">
        <v>0</v>
      </c>
      <c r="G238" s="140">
        <v>180</v>
      </c>
      <c r="H238" s="140">
        <v>0</v>
      </c>
      <c r="I238" s="142">
        <v>0</v>
      </c>
      <c r="J238" s="141">
        <v>0</v>
      </c>
      <c r="K238" s="141">
        <v>0</v>
      </c>
      <c r="T238">
        <v>180</v>
      </c>
      <c r="U238">
        <v>180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</row>
    <row r="239" spans="1:28" ht="14.25" x14ac:dyDescent="0.2">
      <c r="C239" s="35" t="s">
        <v>444</v>
      </c>
      <c r="D239" s="3"/>
      <c r="E239" s="139">
        <v>0</v>
      </c>
      <c r="F239" s="139">
        <v>0</v>
      </c>
      <c r="G239" s="140"/>
      <c r="H239" s="140"/>
      <c r="I239" s="140">
        <v>0</v>
      </c>
      <c r="J239" s="139">
        <v>0</v>
      </c>
      <c r="K239" s="139">
        <v>0</v>
      </c>
    </row>
    <row r="240" spans="1:28" x14ac:dyDescent="0.2">
      <c r="C240" s="36" t="s">
        <v>445</v>
      </c>
    </row>
    <row r="241" spans="1:28" ht="99.75" x14ac:dyDescent="0.2">
      <c r="A241" s="149" t="s">
        <v>192</v>
      </c>
      <c r="B241" s="149" t="s">
        <v>1695</v>
      </c>
      <c r="C241" s="145" t="s">
        <v>446</v>
      </c>
      <c r="D241" s="3">
        <v>0.86199999999999999</v>
      </c>
      <c r="E241" s="141">
        <v>6920.41</v>
      </c>
      <c r="F241" s="141">
        <v>0</v>
      </c>
      <c r="G241" s="140">
        <v>5965</v>
      </c>
      <c r="H241" s="140">
        <v>0</v>
      </c>
      <c r="I241" s="142">
        <v>0</v>
      </c>
      <c r="J241" s="141">
        <v>0</v>
      </c>
      <c r="K241" s="141">
        <v>0</v>
      </c>
      <c r="T241">
        <v>5965</v>
      </c>
      <c r="U241">
        <v>5965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</row>
    <row r="242" spans="1:28" ht="14.25" x14ac:dyDescent="0.2">
      <c r="C242" s="35" t="s">
        <v>444</v>
      </c>
      <c r="D242" s="3"/>
      <c r="E242" s="139">
        <v>0</v>
      </c>
      <c r="F242" s="139">
        <v>0</v>
      </c>
      <c r="G242" s="140"/>
      <c r="H242" s="140"/>
      <c r="I242" s="140">
        <v>0</v>
      </c>
      <c r="J242" s="139">
        <v>0</v>
      </c>
      <c r="K242" s="139">
        <v>0</v>
      </c>
    </row>
    <row r="243" spans="1:28" x14ac:dyDescent="0.2">
      <c r="C243" s="36" t="s">
        <v>447</v>
      </c>
    </row>
    <row r="244" spans="1:28" ht="99.75" x14ac:dyDescent="0.2">
      <c r="A244" s="149" t="s">
        <v>194</v>
      </c>
      <c r="B244" s="149" t="s">
        <v>1696</v>
      </c>
      <c r="C244" s="145" t="s">
        <v>448</v>
      </c>
      <c r="D244" s="3">
        <v>0.41799999999999998</v>
      </c>
      <c r="E244" s="141">
        <v>4832.12</v>
      </c>
      <c r="F244" s="141">
        <v>0</v>
      </c>
      <c r="G244" s="140">
        <v>2020</v>
      </c>
      <c r="H244" s="140">
        <v>0</v>
      </c>
      <c r="I244" s="142">
        <v>0</v>
      </c>
      <c r="J244" s="141">
        <v>0</v>
      </c>
      <c r="K244" s="141">
        <v>0</v>
      </c>
      <c r="T244">
        <v>2020</v>
      </c>
      <c r="U244">
        <v>2020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</row>
    <row r="245" spans="1:28" ht="14.25" x14ac:dyDescent="0.2">
      <c r="C245" s="35" t="s">
        <v>444</v>
      </c>
      <c r="D245" s="3"/>
      <c r="E245" s="139">
        <v>0</v>
      </c>
      <c r="F245" s="139">
        <v>0</v>
      </c>
      <c r="G245" s="140"/>
      <c r="H245" s="140"/>
      <c r="I245" s="140">
        <v>0</v>
      </c>
      <c r="J245" s="139">
        <v>0</v>
      </c>
      <c r="K245" s="139">
        <v>0</v>
      </c>
    </row>
    <row r="246" spans="1:28" x14ac:dyDescent="0.2">
      <c r="C246" s="36" t="s">
        <v>449</v>
      </c>
    </row>
    <row r="247" spans="1:28" ht="99.75" x14ac:dyDescent="0.2">
      <c r="A247" s="149" t="s">
        <v>195</v>
      </c>
      <c r="B247" s="149" t="s">
        <v>1697</v>
      </c>
      <c r="C247" s="145" t="s">
        <v>1698</v>
      </c>
      <c r="D247" s="3">
        <v>0.55100000000000005</v>
      </c>
      <c r="E247" s="141">
        <v>19862.939999999999</v>
      </c>
      <c r="F247" s="141">
        <v>0</v>
      </c>
      <c r="G247" s="140">
        <v>10944</v>
      </c>
      <c r="H247" s="140">
        <v>0</v>
      </c>
      <c r="I247" s="142">
        <v>0</v>
      </c>
      <c r="J247" s="141">
        <v>0</v>
      </c>
      <c r="K247" s="141">
        <v>0</v>
      </c>
      <c r="T247">
        <v>10944</v>
      </c>
      <c r="U247">
        <v>10944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</row>
    <row r="248" spans="1:28" ht="14.25" x14ac:dyDescent="0.2">
      <c r="C248" s="35" t="s">
        <v>444</v>
      </c>
      <c r="D248" s="3"/>
      <c r="E248" s="139">
        <v>0</v>
      </c>
      <c r="F248" s="139">
        <v>0</v>
      </c>
      <c r="G248" s="140"/>
      <c r="H248" s="140"/>
      <c r="I248" s="140">
        <v>0</v>
      </c>
      <c r="J248" s="139">
        <v>0</v>
      </c>
      <c r="K248" s="139">
        <v>0</v>
      </c>
    </row>
    <row r="249" spans="1:28" x14ac:dyDescent="0.2">
      <c r="C249" s="36" t="s">
        <v>450</v>
      </c>
    </row>
    <row r="250" spans="1:28" ht="99.75" x14ac:dyDescent="0.2">
      <c r="A250" s="149" t="s">
        <v>196</v>
      </c>
      <c r="B250" s="149" t="s">
        <v>1699</v>
      </c>
      <c r="C250" s="145" t="s">
        <v>451</v>
      </c>
      <c r="D250" s="3">
        <v>0.122</v>
      </c>
      <c r="E250" s="141">
        <v>10444.950000000001</v>
      </c>
      <c r="F250" s="141">
        <v>0</v>
      </c>
      <c r="G250" s="140">
        <v>1274</v>
      </c>
      <c r="H250" s="140">
        <v>0</v>
      </c>
      <c r="I250" s="142">
        <v>0</v>
      </c>
      <c r="J250" s="141">
        <v>0</v>
      </c>
      <c r="K250" s="141">
        <v>0</v>
      </c>
      <c r="T250">
        <v>1274</v>
      </c>
      <c r="U250">
        <v>1274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</row>
    <row r="251" spans="1:28" ht="14.25" x14ac:dyDescent="0.2">
      <c r="C251" s="35" t="s">
        <v>444</v>
      </c>
      <c r="D251" s="3"/>
      <c r="E251" s="139">
        <v>0</v>
      </c>
      <c r="F251" s="139">
        <v>0</v>
      </c>
      <c r="G251" s="140"/>
      <c r="H251" s="140"/>
      <c r="I251" s="140">
        <v>0</v>
      </c>
      <c r="J251" s="139">
        <v>0</v>
      </c>
      <c r="K251" s="139">
        <v>0</v>
      </c>
    </row>
    <row r="252" spans="1:28" x14ac:dyDescent="0.2">
      <c r="C252" s="36" t="s">
        <v>452</v>
      </c>
    </row>
    <row r="253" spans="1:28" ht="99.75" x14ac:dyDescent="0.2">
      <c r="A253" s="149" t="s">
        <v>197</v>
      </c>
      <c r="B253" s="149" t="s">
        <v>1700</v>
      </c>
      <c r="C253" s="145" t="s">
        <v>1701</v>
      </c>
      <c r="D253" s="3">
        <v>19.25</v>
      </c>
      <c r="E253" s="141">
        <v>94.34</v>
      </c>
      <c r="F253" s="141">
        <v>0</v>
      </c>
      <c r="G253" s="140">
        <v>1816</v>
      </c>
      <c r="H253" s="140">
        <v>1816</v>
      </c>
      <c r="I253" s="142">
        <v>0</v>
      </c>
      <c r="J253" s="141">
        <v>11.06</v>
      </c>
      <c r="K253" s="141">
        <v>212.905</v>
      </c>
      <c r="T253">
        <v>4695</v>
      </c>
      <c r="U253">
        <v>0</v>
      </c>
      <c r="V253">
        <v>1816</v>
      </c>
      <c r="W253">
        <v>0</v>
      </c>
      <c r="X253">
        <v>0</v>
      </c>
      <c r="Y253">
        <v>212.905</v>
      </c>
      <c r="Z253">
        <v>0</v>
      </c>
      <c r="AA253">
        <v>1798</v>
      </c>
      <c r="AB253">
        <v>1081</v>
      </c>
    </row>
    <row r="254" spans="1:28" ht="14.25" x14ac:dyDescent="0.2">
      <c r="C254" s="35" t="s">
        <v>169</v>
      </c>
      <c r="D254" s="3"/>
      <c r="E254" s="139">
        <v>94.34</v>
      </c>
      <c r="F254" s="139">
        <v>0</v>
      </c>
      <c r="G254" s="140"/>
      <c r="H254" s="140"/>
      <c r="I254" s="140">
        <v>0</v>
      </c>
      <c r="J254" s="139">
        <v>0</v>
      </c>
      <c r="K254" s="139">
        <v>0</v>
      </c>
    </row>
    <row r="255" spans="1:28" x14ac:dyDescent="0.2">
      <c r="C255" s="36" t="s">
        <v>453</v>
      </c>
    </row>
    <row r="256" spans="1:28" x14ac:dyDescent="0.2">
      <c r="C256" s="20" t="s">
        <v>89</v>
      </c>
      <c r="D256" s="37">
        <v>110</v>
      </c>
      <c r="E256" s="144">
        <v>93.396599999999992</v>
      </c>
      <c r="F256" s="37" t="s">
        <v>90</v>
      </c>
      <c r="G256" s="143">
        <v>1798</v>
      </c>
      <c r="H256" s="37" t="s">
        <v>91</v>
      </c>
      <c r="I256" s="37"/>
      <c r="J256" s="37"/>
      <c r="K256" s="37"/>
    </row>
    <row r="257" spans="1:28" x14ac:dyDescent="0.2">
      <c r="C257" s="20" t="s">
        <v>92</v>
      </c>
      <c r="D257" s="37">
        <v>70</v>
      </c>
      <c r="E257" s="144">
        <v>56.132300000000008</v>
      </c>
      <c r="F257" s="37" t="s">
        <v>93</v>
      </c>
      <c r="G257" s="143">
        <v>1081</v>
      </c>
      <c r="H257" s="37" t="s">
        <v>94</v>
      </c>
      <c r="I257" s="37"/>
      <c r="J257" s="37"/>
      <c r="K257" s="37"/>
    </row>
    <row r="258" spans="1:28" x14ac:dyDescent="0.2">
      <c r="C258" s="20" t="s">
        <v>95</v>
      </c>
      <c r="D258" s="37"/>
      <c r="E258" s="144">
        <v>243.8689</v>
      </c>
      <c r="F258" s="37"/>
      <c r="G258" s="143">
        <v>4695</v>
      </c>
      <c r="H258" s="37"/>
      <c r="I258" s="37"/>
      <c r="J258" s="37"/>
      <c r="K258" s="37"/>
    </row>
    <row r="259" spans="1:28" ht="99.75" x14ac:dyDescent="0.2">
      <c r="A259" s="149" t="s">
        <v>198</v>
      </c>
      <c r="B259" s="149" t="s">
        <v>1702</v>
      </c>
      <c r="C259" s="145" t="s">
        <v>1703</v>
      </c>
      <c r="D259" s="3">
        <v>0.15</v>
      </c>
      <c r="E259" s="141">
        <v>435.17</v>
      </c>
      <c r="F259" s="141">
        <v>143.44999999999999</v>
      </c>
      <c r="G259" s="140">
        <v>66</v>
      </c>
      <c r="H259" s="140">
        <v>27</v>
      </c>
      <c r="I259" s="142">
        <v>22</v>
      </c>
      <c r="J259" s="141">
        <v>18.96</v>
      </c>
      <c r="K259" s="141">
        <v>2.8439999999999999</v>
      </c>
      <c r="T259">
        <v>113</v>
      </c>
      <c r="U259">
        <v>17</v>
      </c>
      <c r="V259">
        <v>27</v>
      </c>
      <c r="W259">
        <v>22</v>
      </c>
      <c r="X259">
        <v>2</v>
      </c>
      <c r="Y259">
        <v>2.8439999999999999</v>
      </c>
      <c r="Z259">
        <v>0.192</v>
      </c>
      <c r="AA259">
        <v>28</v>
      </c>
      <c r="AB259">
        <v>19</v>
      </c>
    </row>
    <row r="260" spans="1:28" ht="14.25" x14ac:dyDescent="0.2">
      <c r="C260" s="35" t="s">
        <v>169</v>
      </c>
      <c r="D260" s="3"/>
      <c r="E260" s="139">
        <v>178.22</v>
      </c>
      <c r="F260" s="139">
        <v>16.059999999999999</v>
      </c>
      <c r="G260" s="140"/>
      <c r="H260" s="140"/>
      <c r="I260" s="140">
        <v>2</v>
      </c>
      <c r="J260" s="139">
        <v>1.28</v>
      </c>
      <c r="K260" s="139">
        <v>0.192</v>
      </c>
    </row>
    <row r="261" spans="1:28" x14ac:dyDescent="0.2">
      <c r="C261" s="36" t="s">
        <v>454</v>
      </c>
    </row>
    <row r="262" spans="1:28" x14ac:dyDescent="0.2">
      <c r="C262" s="20" t="s">
        <v>89</v>
      </c>
      <c r="D262" s="37">
        <v>95</v>
      </c>
      <c r="E262" s="144">
        <v>184.56599999999997</v>
      </c>
      <c r="F262" s="37"/>
      <c r="G262" s="143">
        <v>28</v>
      </c>
      <c r="H262" s="37" t="s">
        <v>234</v>
      </c>
      <c r="I262" s="37"/>
      <c r="J262" s="37"/>
      <c r="K262" s="37"/>
    </row>
    <row r="263" spans="1:28" x14ac:dyDescent="0.2">
      <c r="C263" s="20" t="s">
        <v>92</v>
      </c>
      <c r="D263" s="37">
        <v>65</v>
      </c>
      <c r="E263" s="144">
        <v>126.28200000000001</v>
      </c>
      <c r="F263" s="37"/>
      <c r="G263" s="143">
        <v>19</v>
      </c>
      <c r="H263" s="37" t="s">
        <v>202</v>
      </c>
      <c r="I263" s="37"/>
      <c r="J263" s="37"/>
      <c r="K263" s="37"/>
    </row>
    <row r="264" spans="1:28" x14ac:dyDescent="0.2">
      <c r="C264" s="20" t="s">
        <v>95</v>
      </c>
      <c r="D264" s="37"/>
      <c r="E264" s="144">
        <v>746.01800000000003</v>
      </c>
      <c r="F264" s="37"/>
      <c r="G264" s="143">
        <v>113</v>
      </c>
      <c r="H264" s="37"/>
      <c r="I264" s="37"/>
      <c r="J264" s="37"/>
      <c r="K264" s="37"/>
    </row>
    <row r="265" spans="1:28" ht="99.75" x14ac:dyDescent="0.2">
      <c r="A265" s="149" t="s">
        <v>199</v>
      </c>
      <c r="B265" s="149" t="s">
        <v>1704</v>
      </c>
      <c r="C265" s="145" t="s">
        <v>455</v>
      </c>
      <c r="D265" s="3">
        <v>15.45</v>
      </c>
      <c r="E265" s="141">
        <v>11.15</v>
      </c>
      <c r="F265" s="141">
        <v>0</v>
      </c>
      <c r="G265" s="140">
        <v>172</v>
      </c>
      <c r="H265" s="140">
        <v>0</v>
      </c>
      <c r="I265" s="142">
        <v>0</v>
      </c>
      <c r="J265" s="141">
        <v>0</v>
      </c>
      <c r="K265" s="141">
        <v>0</v>
      </c>
      <c r="T265">
        <v>172</v>
      </c>
      <c r="U265">
        <v>172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</row>
    <row r="266" spans="1:28" ht="14.25" x14ac:dyDescent="0.2">
      <c r="C266" s="35" t="s">
        <v>171</v>
      </c>
      <c r="D266" s="3"/>
      <c r="E266" s="139">
        <v>0</v>
      </c>
      <c r="F266" s="139">
        <v>0</v>
      </c>
      <c r="G266" s="140"/>
      <c r="H266" s="140"/>
      <c r="I266" s="140">
        <v>0</v>
      </c>
      <c r="J266" s="139">
        <v>0</v>
      </c>
      <c r="K266" s="139">
        <v>0</v>
      </c>
    </row>
    <row r="267" spans="1:28" x14ac:dyDescent="0.2">
      <c r="C267" s="36" t="s">
        <v>1705</v>
      </c>
    </row>
    <row r="268" spans="1:28" ht="99.75" x14ac:dyDescent="0.2">
      <c r="A268" s="149" t="s">
        <v>110</v>
      </c>
      <c r="B268" s="149" t="s">
        <v>1706</v>
      </c>
      <c r="C268" s="145" t="s">
        <v>1707</v>
      </c>
      <c r="D268" s="3">
        <v>0.15</v>
      </c>
      <c r="E268" s="141">
        <v>427.2</v>
      </c>
      <c r="F268" s="141">
        <v>196.04</v>
      </c>
      <c r="G268" s="140">
        <v>63</v>
      </c>
      <c r="H268" s="140">
        <v>16</v>
      </c>
      <c r="I268" s="142">
        <v>29</v>
      </c>
      <c r="J268" s="141">
        <v>11.95</v>
      </c>
      <c r="K268" s="141">
        <v>1.7924999999999998</v>
      </c>
      <c r="T268">
        <v>92</v>
      </c>
      <c r="U268">
        <v>18</v>
      </c>
      <c r="V268">
        <v>16</v>
      </c>
      <c r="W268">
        <v>29</v>
      </c>
      <c r="X268">
        <v>2</v>
      </c>
      <c r="Y268">
        <v>1.7924999999999998</v>
      </c>
      <c r="Z268">
        <v>0.11699999999999999</v>
      </c>
      <c r="AA268">
        <v>17</v>
      </c>
      <c r="AB268">
        <v>12</v>
      </c>
    </row>
    <row r="269" spans="1:28" ht="14.25" x14ac:dyDescent="0.2">
      <c r="C269" s="35" t="s">
        <v>169</v>
      </c>
      <c r="D269" s="3"/>
      <c r="E269" s="139">
        <v>108.39</v>
      </c>
      <c r="F269" s="139">
        <v>10.54</v>
      </c>
      <c r="G269" s="140"/>
      <c r="H269" s="140"/>
      <c r="I269" s="140">
        <v>2</v>
      </c>
      <c r="J269" s="139">
        <v>0.78</v>
      </c>
      <c r="K269" s="139">
        <v>0.11699999999999999</v>
      </c>
    </row>
    <row r="270" spans="1:28" x14ac:dyDescent="0.2">
      <c r="C270" s="36" t="s">
        <v>454</v>
      </c>
    </row>
    <row r="271" spans="1:28" x14ac:dyDescent="0.2">
      <c r="C271" s="20" t="s">
        <v>89</v>
      </c>
      <c r="D271" s="37">
        <v>95</v>
      </c>
      <c r="E271" s="144">
        <v>112.98350000000001</v>
      </c>
      <c r="F271" s="37"/>
      <c r="G271" s="143">
        <v>17</v>
      </c>
      <c r="H271" s="37" t="s">
        <v>234</v>
      </c>
      <c r="I271" s="37"/>
      <c r="J271" s="37"/>
      <c r="K271" s="37"/>
    </row>
    <row r="272" spans="1:28" x14ac:dyDescent="0.2">
      <c r="C272" s="20" t="s">
        <v>92</v>
      </c>
      <c r="D272" s="37">
        <v>65</v>
      </c>
      <c r="E272" s="144">
        <v>77.304500000000004</v>
      </c>
      <c r="F272" s="37"/>
      <c r="G272" s="143">
        <v>12</v>
      </c>
      <c r="H272" s="37" t="s">
        <v>202</v>
      </c>
      <c r="I272" s="37"/>
      <c r="J272" s="37"/>
      <c r="K272" s="37"/>
    </row>
    <row r="273" spans="1:28" x14ac:dyDescent="0.2">
      <c r="C273" s="20" t="s">
        <v>95</v>
      </c>
      <c r="D273" s="37"/>
      <c r="E273" s="144">
        <v>617.48800000000006</v>
      </c>
      <c r="F273" s="37"/>
      <c r="G273" s="143">
        <v>92</v>
      </c>
      <c r="H273" s="37"/>
      <c r="I273" s="37"/>
      <c r="J273" s="37"/>
      <c r="K273" s="37"/>
    </row>
    <row r="274" spans="1:28" ht="99.75" x14ac:dyDescent="0.2">
      <c r="A274" s="149" t="s">
        <v>200</v>
      </c>
      <c r="B274" s="149" t="s">
        <v>1708</v>
      </c>
      <c r="C274" s="145" t="s">
        <v>456</v>
      </c>
      <c r="D274" s="3">
        <v>1.5299999999999999E-2</v>
      </c>
      <c r="E274" s="141">
        <v>7950.51</v>
      </c>
      <c r="F274" s="141">
        <v>0</v>
      </c>
      <c r="G274" s="140">
        <v>122</v>
      </c>
      <c r="H274" s="140">
        <v>0</v>
      </c>
      <c r="I274" s="142">
        <v>0</v>
      </c>
      <c r="J274" s="141">
        <v>0</v>
      </c>
      <c r="K274" s="141">
        <v>0</v>
      </c>
      <c r="T274">
        <v>122</v>
      </c>
      <c r="U274">
        <v>122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</row>
    <row r="275" spans="1:28" ht="14.25" x14ac:dyDescent="0.2">
      <c r="C275" s="35" t="s">
        <v>444</v>
      </c>
      <c r="D275" s="3"/>
      <c r="E275" s="139">
        <v>0</v>
      </c>
      <c r="F275" s="139">
        <v>0</v>
      </c>
      <c r="G275" s="140"/>
      <c r="H275" s="140"/>
      <c r="I275" s="140">
        <v>0</v>
      </c>
      <c r="J275" s="139">
        <v>0</v>
      </c>
      <c r="K275" s="139">
        <v>0</v>
      </c>
    </row>
    <row r="276" spans="1:28" x14ac:dyDescent="0.2">
      <c r="C276" s="36" t="s">
        <v>1709</v>
      </c>
    </row>
    <row r="277" spans="1:28" ht="99.75" x14ac:dyDescent="0.2">
      <c r="A277" s="149" t="s">
        <v>201</v>
      </c>
      <c r="B277" s="149" t="s">
        <v>1710</v>
      </c>
      <c r="C277" s="145" t="s">
        <v>1711</v>
      </c>
      <c r="D277" s="3">
        <v>2.9</v>
      </c>
      <c r="E277" s="141">
        <v>68.77</v>
      </c>
      <c r="F277" s="141">
        <v>3.62</v>
      </c>
      <c r="G277" s="140">
        <v>199</v>
      </c>
      <c r="H277" s="140">
        <v>147</v>
      </c>
      <c r="I277" s="142">
        <v>10</v>
      </c>
      <c r="J277" s="141">
        <v>5.39</v>
      </c>
      <c r="K277" s="141">
        <v>15.630999999999998</v>
      </c>
      <c r="T277">
        <v>436</v>
      </c>
      <c r="U277">
        <v>42</v>
      </c>
      <c r="V277">
        <v>147</v>
      </c>
      <c r="W277">
        <v>10</v>
      </c>
      <c r="X277">
        <v>1</v>
      </c>
      <c r="Y277">
        <v>15.630999999999998</v>
      </c>
      <c r="Z277">
        <v>0.11599999999999999</v>
      </c>
      <c r="AA277">
        <v>141</v>
      </c>
      <c r="AB277">
        <v>96</v>
      </c>
    </row>
    <row r="278" spans="1:28" ht="14.25" x14ac:dyDescent="0.2">
      <c r="C278" s="35" t="s">
        <v>169</v>
      </c>
      <c r="D278" s="3"/>
      <c r="E278" s="139">
        <v>50.67</v>
      </c>
      <c r="F278" s="139">
        <v>0.5</v>
      </c>
      <c r="G278" s="140"/>
      <c r="H278" s="140"/>
      <c r="I278" s="140">
        <v>1</v>
      </c>
      <c r="J278" s="139">
        <v>0.04</v>
      </c>
      <c r="K278" s="139">
        <v>0.11599999999999999</v>
      </c>
    </row>
    <row r="279" spans="1:28" x14ac:dyDescent="0.2">
      <c r="C279" s="36" t="s">
        <v>457</v>
      </c>
    </row>
    <row r="280" spans="1:28" x14ac:dyDescent="0.2">
      <c r="C280" s="20" t="s">
        <v>89</v>
      </c>
      <c r="D280" s="37">
        <v>95</v>
      </c>
      <c r="E280" s="144">
        <v>48.611500000000007</v>
      </c>
      <c r="F280" s="37"/>
      <c r="G280" s="143">
        <v>141</v>
      </c>
      <c r="H280" s="37" t="s">
        <v>234</v>
      </c>
      <c r="I280" s="37"/>
      <c r="J280" s="37"/>
      <c r="K280" s="37"/>
    </row>
    <row r="281" spans="1:28" x14ac:dyDescent="0.2">
      <c r="C281" s="20" t="s">
        <v>92</v>
      </c>
      <c r="D281" s="37">
        <v>65</v>
      </c>
      <c r="E281" s="144">
        <v>33.2605</v>
      </c>
      <c r="F281" s="37"/>
      <c r="G281" s="143">
        <v>96</v>
      </c>
      <c r="H281" s="37" t="s">
        <v>202</v>
      </c>
      <c r="I281" s="37"/>
      <c r="J281" s="37"/>
      <c r="K281" s="37"/>
    </row>
    <row r="282" spans="1:28" x14ac:dyDescent="0.2">
      <c r="C282" s="20" t="s">
        <v>95</v>
      </c>
      <c r="D282" s="37"/>
      <c r="E282" s="144">
        <v>150.642</v>
      </c>
      <c r="F282" s="37"/>
      <c r="G282" s="143">
        <v>436</v>
      </c>
      <c r="H282" s="37"/>
      <c r="I282" s="37"/>
      <c r="J282" s="37"/>
      <c r="K282" s="37"/>
    </row>
    <row r="283" spans="1:28" ht="99.75" x14ac:dyDescent="0.2">
      <c r="A283" s="149" t="s">
        <v>202</v>
      </c>
      <c r="B283" s="149" t="s">
        <v>1696</v>
      </c>
      <c r="C283" s="145" t="s">
        <v>448</v>
      </c>
      <c r="D283" s="3">
        <v>0.112</v>
      </c>
      <c r="E283" s="141">
        <v>4832.12</v>
      </c>
      <c r="F283" s="141">
        <v>0</v>
      </c>
      <c r="G283" s="140">
        <v>541</v>
      </c>
      <c r="H283" s="140">
        <v>0</v>
      </c>
      <c r="I283" s="142">
        <v>0</v>
      </c>
      <c r="J283" s="141">
        <v>0</v>
      </c>
      <c r="K283" s="141">
        <v>0</v>
      </c>
      <c r="T283">
        <v>541</v>
      </c>
      <c r="U283">
        <v>541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</row>
    <row r="284" spans="1:28" ht="14.25" x14ac:dyDescent="0.2">
      <c r="C284" s="35" t="s">
        <v>444</v>
      </c>
      <c r="D284" s="3"/>
      <c r="E284" s="139">
        <v>0</v>
      </c>
      <c r="F284" s="139">
        <v>0</v>
      </c>
      <c r="G284" s="140"/>
      <c r="H284" s="140"/>
      <c r="I284" s="140">
        <v>0</v>
      </c>
      <c r="J284" s="139">
        <v>0</v>
      </c>
      <c r="K284" s="139">
        <v>0</v>
      </c>
    </row>
    <row r="285" spans="1:28" x14ac:dyDescent="0.2">
      <c r="C285" s="36" t="s">
        <v>458</v>
      </c>
    </row>
    <row r="286" spans="1:28" ht="99.75" x14ac:dyDescent="0.2">
      <c r="A286" s="149" t="s">
        <v>203</v>
      </c>
      <c r="B286" s="149" t="s">
        <v>1712</v>
      </c>
      <c r="C286" s="145" t="s">
        <v>459</v>
      </c>
      <c r="D286" s="3">
        <v>0.184</v>
      </c>
      <c r="E286" s="141">
        <v>4947.03</v>
      </c>
      <c r="F286" s="141">
        <v>0</v>
      </c>
      <c r="G286" s="140">
        <v>910</v>
      </c>
      <c r="H286" s="140">
        <v>0</v>
      </c>
      <c r="I286" s="142">
        <v>0</v>
      </c>
      <c r="J286" s="141">
        <v>0</v>
      </c>
      <c r="K286" s="141">
        <v>0</v>
      </c>
      <c r="T286">
        <v>910</v>
      </c>
      <c r="U286">
        <v>910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</row>
    <row r="287" spans="1:28" ht="14.25" x14ac:dyDescent="0.2">
      <c r="C287" s="35" t="s">
        <v>444</v>
      </c>
      <c r="D287" s="3"/>
      <c r="E287" s="139">
        <v>0</v>
      </c>
      <c r="F287" s="139">
        <v>0</v>
      </c>
      <c r="G287" s="140"/>
      <c r="H287" s="140"/>
      <c r="I287" s="140">
        <v>0</v>
      </c>
      <c r="J287" s="139">
        <v>0</v>
      </c>
      <c r="K287" s="139">
        <v>0</v>
      </c>
    </row>
    <row r="288" spans="1:28" x14ac:dyDescent="0.2">
      <c r="C288" s="36" t="s">
        <v>460</v>
      </c>
    </row>
    <row r="289" spans="1:28" ht="99.75" x14ac:dyDescent="0.2">
      <c r="A289" s="149" t="s">
        <v>204</v>
      </c>
      <c r="B289" s="149" t="s">
        <v>1713</v>
      </c>
      <c r="C289" s="145" t="s">
        <v>461</v>
      </c>
      <c r="D289" s="3">
        <v>2.9</v>
      </c>
      <c r="E289" s="141">
        <v>156.33000000000001</v>
      </c>
      <c r="F289" s="141">
        <v>0</v>
      </c>
      <c r="G289" s="140">
        <v>454</v>
      </c>
      <c r="H289" s="140">
        <v>405</v>
      </c>
      <c r="I289" s="142">
        <v>0</v>
      </c>
      <c r="J289" s="141">
        <v>15.2</v>
      </c>
      <c r="K289" s="141">
        <v>44.08</v>
      </c>
      <c r="T289">
        <v>1102</v>
      </c>
      <c r="U289">
        <v>49</v>
      </c>
      <c r="V289">
        <v>405</v>
      </c>
      <c r="W289">
        <v>0</v>
      </c>
      <c r="X289">
        <v>0</v>
      </c>
      <c r="Y289">
        <v>44.08</v>
      </c>
      <c r="Z289">
        <v>0</v>
      </c>
      <c r="AA289">
        <v>385</v>
      </c>
      <c r="AB289">
        <v>263</v>
      </c>
    </row>
    <row r="290" spans="1:28" ht="14.25" x14ac:dyDescent="0.2">
      <c r="C290" s="35" t="s">
        <v>169</v>
      </c>
      <c r="D290" s="3"/>
      <c r="E290" s="139">
        <v>139.54</v>
      </c>
      <c r="F290" s="139">
        <v>0</v>
      </c>
      <c r="G290" s="140"/>
      <c r="H290" s="140"/>
      <c r="I290" s="140">
        <v>0</v>
      </c>
      <c r="J290" s="139">
        <v>0</v>
      </c>
      <c r="K290" s="139">
        <v>0</v>
      </c>
    </row>
    <row r="291" spans="1:28" x14ac:dyDescent="0.2">
      <c r="C291" s="36" t="s">
        <v>462</v>
      </c>
    </row>
    <row r="292" spans="1:28" x14ac:dyDescent="0.2">
      <c r="C292" s="20" t="s">
        <v>89</v>
      </c>
      <c r="D292" s="37">
        <v>95</v>
      </c>
      <c r="E292" s="144">
        <v>132.56299999999999</v>
      </c>
      <c r="F292" s="37"/>
      <c r="G292" s="143">
        <v>385</v>
      </c>
      <c r="H292" s="37" t="s">
        <v>234</v>
      </c>
      <c r="I292" s="37"/>
      <c r="J292" s="37"/>
      <c r="K292" s="37"/>
    </row>
    <row r="293" spans="1:28" x14ac:dyDescent="0.2">
      <c r="C293" s="20" t="s">
        <v>92</v>
      </c>
      <c r="D293" s="37">
        <v>65</v>
      </c>
      <c r="E293" s="144">
        <v>90.701000000000008</v>
      </c>
      <c r="F293" s="37"/>
      <c r="G293" s="143">
        <v>263</v>
      </c>
      <c r="H293" s="37" t="s">
        <v>202</v>
      </c>
      <c r="I293" s="37"/>
      <c r="J293" s="37"/>
      <c r="K293" s="37"/>
    </row>
    <row r="294" spans="1:28" x14ac:dyDescent="0.2">
      <c r="C294" s="20" t="s">
        <v>95</v>
      </c>
      <c r="D294" s="37"/>
      <c r="E294" s="144">
        <v>379.59400000000005</v>
      </c>
      <c r="F294" s="37"/>
      <c r="G294" s="143">
        <v>1102</v>
      </c>
      <c r="H294" s="37"/>
      <c r="I294" s="37"/>
      <c r="J294" s="37"/>
      <c r="K294" s="37"/>
    </row>
    <row r="295" spans="1:28" ht="99.75" x14ac:dyDescent="0.2">
      <c r="A295" s="149" t="s">
        <v>136</v>
      </c>
      <c r="B295" s="149" t="s">
        <v>1714</v>
      </c>
      <c r="C295" s="145" t="s">
        <v>463</v>
      </c>
      <c r="D295" s="3">
        <v>295.8</v>
      </c>
      <c r="E295" s="141">
        <v>3.24</v>
      </c>
      <c r="F295" s="141">
        <v>0</v>
      </c>
      <c r="G295" s="140">
        <v>958</v>
      </c>
      <c r="H295" s="140">
        <v>0</v>
      </c>
      <c r="I295" s="142">
        <v>0</v>
      </c>
      <c r="J295" s="141">
        <v>0</v>
      </c>
      <c r="K295" s="141">
        <v>0</v>
      </c>
      <c r="T295">
        <v>958</v>
      </c>
      <c r="U295">
        <v>958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</row>
    <row r="296" spans="1:28" ht="14.25" x14ac:dyDescent="0.2">
      <c r="C296" s="35" t="s">
        <v>171</v>
      </c>
      <c r="D296" s="3"/>
      <c r="E296" s="139">
        <v>0</v>
      </c>
      <c r="F296" s="139">
        <v>0</v>
      </c>
      <c r="G296" s="140"/>
      <c r="H296" s="140"/>
      <c r="I296" s="140">
        <v>0</v>
      </c>
      <c r="J296" s="139">
        <v>0</v>
      </c>
      <c r="K296" s="139">
        <v>0</v>
      </c>
    </row>
    <row r="297" spans="1:28" x14ac:dyDescent="0.2">
      <c r="C297" s="36" t="s">
        <v>464</v>
      </c>
    </row>
    <row r="298" spans="1:28" ht="99.75" x14ac:dyDescent="0.2">
      <c r="A298" s="149" t="s">
        <v>205</v>
      </c>
      <c r="B298" s="149" t="s">
        <v>1715</v>
      </c>
      <c r="C298" s="145" t="s">
        <v>465</v>
      </c>
      <c r="D298" s="3">
        <v>6</v>
      </c>
      <c r="E298" s="141">
        <v>38</v>
      </c>
      <c r="F298" s="141">
        <v>0</v>
      </c>
      <c r="G298" s="140">
        <v>228</v>
      </c>
      <c r="H298" s="140">
        <v>0</v>
      </c>
      <c r="I298" s="142">
        <v>0</v>
      </c>
      <c r="J298" s="141">
        <v>0</v>
      </c>
      <c r="K298" s="141">
        <v>0</v>
      </c>
      <c r="T298">
        <v>228</v>
      </c>
      <c r="U298">
        <v>228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</row>
    <row r="299" spans="1:28" ht="14.25" x14ac:dyDescent="0.2">
      <c r="C299" s="35" t="s">
        <v>108</v>
      </c>
      <c r="D299" s="3"/>
      <c r="E299" s="139">
        <v>0</v>
      </c>
      <c r="F299" s="139">
        <v>0</v>
      </c>
      <c r="G299" s="140"/>
      <c r="H299" s="140"/>
      <c r="I299" s="140">
        <v>0</v>
      </c>
      <c r="J299" s="139">
        <v>0</v>
      </c>
      <c r="K299" s="139">
        <v>0</v>
      </c>
    </row>
    <row r="300" spans="1:28" x14ac:dyDescent="0.2">
      <c r="C300" s="36" t="s">
        <v>466</v>
      </c>
    </row>
    <row r="301" spans="1:28" ht="99.75" x14ac:dyDescent="0.2">
      <c r="A301" s="149" t="s">
        <v>146</v>
      </c>
      <c r="B301" s="149" t="s">
        <v>1716</v>
      </c>
      <c r="C301" s="145" t="s">
        <v>1717</v>
      </c>
      <c r="D301" s="3">
        <v>1.2</v>
      </c>
      <c r="E301" s="141">
        <v>286.92</v>
      </c>
      <c r="F301" s="141">
        <v>0.31</v>
      </c>
      <c r="G301" s="140">
        <v>344</v>
      </c>
      <c r="H301" s="140">
        <v>232</v>
      </c>
      <c r="I301" s="142">
        <v>0</v>
      </c>
      <c r="J301" s="141">
        <v>20.329999999999998</v>
      </c>
      <c r="K301" s="141">
        <v>24.395999999999997</v>
      </c>
      <c r="T301">
        <v>715</v>
      </c>
      <c r="U301">
        <v>112</v>
      </c>
      <c r="V301">
        <v>232</v>
      </c>
      <c r="W301">
        <v>0</v>
      </c>
      <c r="X301">
        <v>0</v>
      </c>
      <c r="Y301">
        <v>24.395999999999997</v>
      </c>
      <c r="Z301">
        <v>1.2E-2</v>
      </c>
      <c r="AA301">
        <v>220</v>
      </c>
      <c r="AB301">
        <v>151</v>
      </c>
    </row>
    <row r="302" spans="1:28" ht="14.25" x14ac:dyDescent="0.2">
      <c r="C302" s="35" t="s">
        <v>169</v>
      </c>
      <c r="D302" s="3"/>
      <c r="E302" s="139">
        <v>193.34</v>
      </c>
      <c r="F302" s="139">
        <v>0.14000000000000001</v>
      </c>
      <c r="G302" s="140"/>
      <c r="H302" s="140"/>
      <c r="I302" s="140">
        <v>0</v>
      </c>
      <c r="J302" s="139">
        <v>0.01</v>
      </c>
      <c r="K302" s="139">
        <v>1.2E-2</v>
      </c>
    </row>
    <row r="303" spans="1:28" x14ac:dyDescent="0.2">
      <c r="C303" s="36" t="s">
        <v>467</v>
      </c>
    </row>
    <row r="304" spans="1:28" x14ac:dyDescent="0.2">
      <c r="C304" s="20" t="s">
        <v>89</v>
      </c>
      <c r="D304" s="37">
        <v>95</v>
      </c>
      <c r="E304" s="144">
        <v>183.80599999999998</v>
      </c>
      <c r="F304" s="37"/>
      <c r="G304" s="143">
        <v>220</v>
      </c>
      <c r="H304" s="37" t="s">
        <v>234</v>
      </c>
      <c r="I304" s="37"/>
      <c r="J304" s="37"/>
      <c r="K304" s="37"/>
    </row>
    <row r="305" spans="1:28" x14ac:dyDescent="0.2">
      <c r="C305" s="20" t="s">
        <v>92</v>
      </c>
      <c r="D305" s="37">
        <v>65</v>
      </c>
      <c r="E305" s="144">
        <v>125.76199999999999</v>
      </c>
      <c r="F305" s="37"/>
      <c r="G305" s="143">
        <v>151</v>
      </c>
      <c r="H305" s="37" t="s">
        <v>202</v>
      </c>
      <c r="I305" s="37"/>
      <c r="J305" s="37"/>
      <c r="K305" s="37"/>
    </row>
    <row r="306" spans="1:28" x14ac:dyDescent="0.2">
      <c r="C306" s="20" t="s">
        <v>95</v>
      </c>
      <c r="D306" s="37"/>
      <c r="E306" s="144">
        <v>596.48800000000006</v>
      </c>
      <c r="F306" s="37"/>
      <c r="G306" s="143">
        <v>715</v>
      </c>
      <c r="H306" s="37"/>
      <c r="I306" s="37"/>
      <c r="J306" s="37"/>
      <c r="K306" s="37"/>
    </row>
    <row r="307" spans="1:28" ht="99.75" x14ac:dyDescent="0.2">
      <c r="A307" s="149" t="s">
        <v>206</v>
      </c>
      <c r="B307" s="149" t="s">
        <v>1718</v>
      </c>
      <c r="C307" s="145" t="s">
        <v>1719</v>
      </c>
      <c r="D307" s="3">
        <v>1.2</v>
      </c>
      <c r="E307" s="141">
        <v>12180</v>
      </c>
      <c r="F307" s="141">
        <v>0</v>
      </c>
      <c r="G307" s="140">
        <v>14616</v>
      </c>
      <c r="H307" s="140">
        <v>0</v>
      </c>
      <c r="I307" s="142">
        <v>0</v>
      </c>
      <c r="J307" s="141">
        <v>0</v>
      </c>
      <c r="K307" s="141">
        <v>0</v>
      </c>
      <c r="T307">
        <v>14616</v>
      </c>
      <c r="U307">
        <v>14616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</row>
    <row r="308" spans="1:28" ht="14.25" x14ac:dyDescent="0.2">
      <c r="C308" s="35" t="s">
        <v>169</v>
      </c>
      <c r="D308" s="3"/>
      <c r="E308" s="139">
        <v>0</v>
      </c>
      <c r="F308" s="139">
        <v>0</v>
      </c>
      <c r="G308" s="140"/>
      <c r="H308" s="140"/>
      <c r="I308" s="140">
        <v>0</v>
      </c>
      <c r="J308" s="139">
        <v>0</v>
      </c>
      <c r="K308" s="139">
        <v>0</v>
      </c>
    </row>
    <row r="309" spans="1:28" x14ac:dyDescent="0.2">
      <c r="C309" s="36" t="s">
        <v>468</v>
      </c>
    </row>
    <row r="310" spans="1:28" ht="99.75" x14ac:dyDescent="0.2">
      <c r="A310" s="149" t="s">
        <v>207</v>
      </c>
      <c r="B310" s="149" t="s">
        <v>1720</v>
      </c>
      <c r="C310" s="145" t="s">
        <v>1721</v>
      </c>
      <c r="D310" s="3">
        <v>0.08</v>
      </c>
      <c r="E310" s="141">
        <v>3975</v>
      </c>
      <c r="F310" s="141">
        <v>0</v>
      </c>
      <c r="G310" s="140">
        <v>318</v>
      </c>
      <c r="H310" s="140">
        <v>0</v>
      </c>
      <c r="I310" s="142">
        <v>0</v>
      </c>
      <c r="J310" s="141">
        <v>0</v>
      </c>
      <c r="K310" s="141">
        <v>0</v>
      </c>
      <c r="T310">
        <v>318</v>
      </c>
      <c r="U310">
        <v>318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</row>
    <row r="311" spans="1:28" ht="14.25" x14ac:dyDescent="0.2">
      <c r="C311" s="35" t="s">
        <v>108</v>
      </c>
      <c r="D311" s="3"/>
      <c r="E311" s="139">
        <v>0</v>
      </c>
      <c r="F311" s="139">
        <v>0</v>
      </c>
      <c r="G311" s="140"/>
      <c r="H311" s="140"/>
      <c r="I311" s="140">
        <v>0</v>
      </c>
      <c r="J311" s="139">
        <v>0</v>
      </c>
      <c r="K311" s="139">
        <v>0</v>
      </c>
    </row>
    <row r="312" spans="1:28" x14ac:dyDescent="0.2">
      <c r="C312" s="36" t="s">
        <v>429</v>
      </c>
    </row>
    <row r="313" spans="1:28" ht="99.75" x14ac:dyDescent="0.2">
      <c r="A313" s="149" t="s">
        <v>212</v>
      </c>
      <c r="B313" s="149" t="s">
        <v>1722</v>
      </c>
      <c r="C313" s="145" t="s">
        <v>469</v>
      </c>
      <c r="D313" s="3">
        <v>0.06</v>
      </c>
      <c r="E313" s="141">
        <v>3975</v>
      </c>
      <c r="F313" s="141">
        <v>0</v>
      </c>
      <c r="G313" s="140">
        <v>239</v>
      </c>
      <c r="H313" s="140">
        <v>0</v>
      </c>
      <c r="I313" s="142">
        <v>0</v>
      </c>
      <c r="J313" s="141">
        <v>0</v>
      </c>
      <c r="K313" s="141">
        <v>0</v>
      </c>
      <c r="T313">
        <v>239</v>
      </c>
      <c r="U313">
        <v>239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</row>
    <row r="314" spans="1:28" ht="14.25" x14ac:dyDescent="0.2">
      <c r="C314" s="35" t="s">
        <v>108</v>
      </c>
      <c r="D314" s="3"/>
      <c r="E314" s="139">
        <v>0</v>
      </c>
      <c r="F314" s="139">
        <v>0</v>
      </c>
      <c r="G314" s="140"/>
      <c r="H314" s="140"/>
      <c r="I314" s="140">
        <v>0</v>
      </c>
      <c r="J314" s="139">
        <v>0</v>
      </c>
      <c r="K314" s="139">
        <v>0</v>
      </c>
    </row>
    <row r="315" spans="1:28" x14ac:dyDescent="0.2">
      <c r="C315" s="36" t="s">
        <v>470</v>
      </c>
    </row>
    <row r="316" spans="1:28" ht="99.75" x14ac:dyDescent="0.2">
      <c r="A316" s="149" t="s">
        <v>213</v>
      </c>
      <c r="B316" s="149" t="s">
        <v>1723</v>
      </c>
      <c r="C316" s="145" t="s">
        <v>1724</v>
      </c>
      <c r="D316" s="3">
        <v>0.6</v>
      </c>
      <c r="E316" s="141">
        <v>1612</v>
      </c>
      <c r="F316" s="141">
        <v>0</v>
      </c>
      <c r="G316" s="140">
        <v>967</v>
      </c>
      <c r="H316" s="140">
        <v>0</v>
      </c>
      <c r="I316" s="142">
        <v>0</v>
      </c>
      <c r="J316" s="141">
        <v>0</v>
      </c>
      <c r="K316" s="141">
        <v>0</v>
      </c>
      <c r="T316">
        <v>967</v>
      </c>
      <c r="U316">
        <v>967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</row>
    <row r="317" spans="1:28" ht="14.25" x14ac:dyDescent="0.2">
      <c r="C317" s="35" t="s">
        <v>108</v>
      </c>
      <c r="D317" s="3"/>
      <c r="E317" s="139">
        <v>0</v>
      </c>
      <c r="F317" s="139">
        <v>0</v>
      </c>
      <c r="G317" s="140"/>
      <c r="H317" s="140"/>
      <c r="I317" s="140">
        <v>0</v>
      </c>
      <c r="J317" s="139">
        <v>0</v>
      </c>
      <c r="K317" s="139">
        <v>0</v>
      </c>
    </row>
    <row r="318" spans="1:28" x14ac:dyDescent="0.2">
      <c r="C318" s="36" t="s">
        <v>471</v>
      </c>
    </row>
    <row r="319" spans="1:28" ht="99.75" x14ac:dyDescent="0.2">
      <c r="A319" s="149" t="s">
        <v>215</v>
      </c>
      <c r="B319" s="149" t="s">
        <v>1725</v>
      </c>
      <c r="C319" s="145" t="s">
        <v>1726</v>
      </c>
      <c r="D319" s="3">
        <v>1.35</v>
      </c>
      <c r="E319" s="141">
        <v>76.02</v>
      </c>
      <c r="F319" s="141">
        <v>1.81</v>
      </c>
      <c r="G319" s="140">
        <v>102</v>
      </c>
      <c r="H319" s="140">
        <v>83</v>
      </c>
      <c r="I319" s="142">
        <v>2</v>
      </c>
      <c r="J319" s="141">
        <v>6.58</v>
      </c>
      <c r="K319" s="141">
        <v>8.8830000000000009</v>
      </c>
      <c r="T319">
        <v>235</v>
      </c>
      <c r="U319">
        <v>17</v>
      </c>
      <c r="V319">
        <v>83</v>
      </c>
      <c r="W319">
        <v>2</v>
      </c>
      <c r="X319">
        <v>0</v>
      </c>
      <c r="Y319">
        <v>8.8830000000000009</v>
      </c>
      <c r="Z319">
        <v>2.7000000000000003E-2</v>
      </c>
      <c r="AA319">
        <v>79</v>
      </c>
      <c r="AB319">
        <v>54</v>
      </c>
    </row>
    <row r="320" spans="1:28" ht="14.25" x14ac:dyDescent="0.2">
      <c r="C320" s="35" t="s">
        <v>169</v>
      </c>
      <c r="D320" s="3"/>
      <c r="E320" s="139">
        <v>61.85</v>
      </c>
      <c r="F320" s="139">
        <v>0.26</v>
      </c>
      <c r="G320" s="140"/>
      <c r="H320" s="140"/>
      <c r="I320" s="140">
        <v>0</v>
      </c>
      <c r="J320" s="139">
        <v>0.02</v>
      </c>
      <c r="K320" s="139">
        <v>2.7000000000000003E-2</v>
      </c>
    </row>
    <row r="321" spans="1:28" x14ac:dyDescent="0.2">
      <c r="C321" s="36" t="s">
        <v>472</v>
      </c>
    </row>
    <row r="322" spans="1:28" x14ac:dyDescent="0.2">
      <c r="C322" s="20" t="s">
        <v>89</v>
      </c>
      <c r="D322" s="37">
        <v>95</v>
      </c>
      <c r="E322" s="144">
        <v>59.0045</v>
      </c>
      <c r="F322" s="37"/>
      <c r="G322" s="143">
        <v>79</v>
      </c>
      <c r="H322" s="37" t="s">
        <v>234</v>
      </c>
      <c r="I322" s="37"/>
      <c r="J322" s="37"/>
      <c r="K322" s="37"/>
    </row>
    <row r="323" spans="1:28" x14ac:dyDescent="0.2">
      <c r="C323" s="20" t="s">
        <v>92</v>
      </c>
      <c r="D323" s="37">
        <v>65</v>
      </c>
      <c r="E323" s="144">
        <v>40.371499999999997</v>
      </c>
      <c r="F323" s="37"/>
      <c r="G323" s="143">
        <v>54</v>
      </c>
      <c r="H323" s="37" t="s">
        <v>202</v>
      </c>
      <c r="I323" s="37"/>
      <c r="J323" s="37"/>
      <c r="K323" s="37"/>
    </row>
    <row r="324" spans="1:28" x14ac:dyDescent="0.2">
      <c r="C324" s="20" t="s">
        <v>95</v>
      </c>
      <c r="D324" s="37"/>
      <c r="E324" s="144">
        <v>175.39600000000002</v>
      </c>
      <c r="F324" s="37"/>
      <c r="G324" s="143">
        <v>235</v>
      </c>
      <c r="H324" s="37"/>
      <c r="I324" s="37"/>
      <c r="J324" s="37"/>
      <c r="K324" s="37"/>
    </row>
    <row r="325" spans="1:28" ht="99.75" x14ac:dyDescent="0.2">
      <c r="A325" s="149" t="s">
        <v>218</v>
      </c>
      <c r="B325" s="149" t="s">
        <v>1727</v>
      </c>
      <c r="C325" s="145" t="s">
        <v>473</v>
      </c>
      <c r="D325" s="3">
        <v>0.13800000000000001</v>
      </c>
      <c r="E325" s="141">
        <v>150364.44</v>
      </c>
      <c r="F325" s="141">
        <v>0</v>
      </c>
      <c r="G325" s="140">
        <v>20750</v>
      </c>
      <c r="H325" s="140">
        <v>0</v>
      </c>
      <c r="I325" s="142">
        <v>0</v>
      </c>
      <c r="J325" s="141">
        <v>0</v>
      </c>
      <c r="K325" s="141">
        <v>0</v>
      </c>
      <c r="T325">
        <v>20750</v>
      </c>
      <c r="U325">
        <v>20750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</row>
    <row r="326" spans="1:28" ht="14.25" x14ac:dyDescent="0.2">
      <c r="C326" s="35" t="s">
        <v>444</v>
      </c>
      <c r="D326" s="3"/>
      <c r="E326" s="139">
        <v>0</v>
      </c>
      <c r="F326" s="139">
        <v>0</v>
      </c>
      <c r="G326" s="140"/>
      <c r="H326" s="140"/>
      <c r="I326" s="140">
        <v>0</v>
      </c>
      <c r="J326" s="139">
        <v>0</v>
      </c>
      <c r="K326" s="139">
        <v>0</v>
      </c>
    </row>
    <row r="327" spans="1:28" x14ac:dyDescent="0.2">
      <c r="C327" s="36" t="s">
        <v>474</v>
      </c>
    </row>
    <row r="328" spans="1:28" ht="99.75" x14ac:dyDescent="0.2">
      <c r="A328" s="149" t="s">
        <v>219</v>
      </c>
      <c r="B328" s="149" t="s">
        <v>1728</v>
      </c>
      <c r="C328" s="145" t="s">
        <v>1729</v>
      </c>
      <c r="D328" s="3">
        <v>4.0999999999999996</v>
      </c>
      <c r="E328" s="141">
        <v>47.95</v>
      </c>
      <c r="F328" s="141">
        <v>1.81</v>
      </c>
      <c r="G328" s="140">
        <v>196</v>
      </c>
      <c r="H328" s="140">
        <v>145</v>
      </c>
      <c r="I328" s="142">
        <v>7</v>
      </c>
      <c r="J328" s="141">
        <v>3.76</v>
      </c>
      <c r="K328" s="141">
        <v>15.415999999999999</v>
      </c>
      <c r="T328">
        <v>430</v>
      </c>
      <c r="U328">
        <v>44</v>
      </c>
      <c r="V328">
        <v>145</v>
      </c>
      <c r="W328">
        <v>7</v>
      </c>
      <c r="X328">
        <v>1</v>
      </c>
      <c r="Y328">
        <v>15.415999999999999</v>
      </c>
      <c r="Z328">
        <v>8.199999999999999E-2</v>
      </c>
      <c r="AA328">
        <v>139</v>
      </c>
      <c r="AB328">
        <v>95</v>
      </c>
    </row>
    <row r="329" spans="1:28" ht="14.25" x14ac:dyDescent="0.2">
      <c r="C329" s="35" t="s">
        <v>169</v>
      </c>
      <c r="D329" s="3"/>
      <c r="E329" s="139">
        <v>35.340000000000003</v>
      </c>
      <c r="F329" s="139">
        <v>0.26</v>
      </c>
      <c r="G329" s="140"/>
      <c r="H329" s="140"/>
      <c r="I329" s="140">
        <v>1</v>
      </c>
      <c r="J329" s="139">
        <v>0.02</v>
      </c>
      <c r="K329" s="139">
        <v>8.199999999999999E-2</v>
      </c>
    </row>
    <row r="330" spans="1:28" x14ac:dyDescent="0.2">
      <c r="C330" s="36" t="s">
        <v>475</v>
      </c>
    </row>
    <row r="331" spans="1:28" x14ac:dyDescent="0.2">
      <c r="C331" s="20" t="s">
        <v>89</v>
      </c>
      <c r="D331" s="37">
        <v>95</v>
      </c>
      <c r="E331" s="144">
        <v>33.82</v>
      </c>
      <c r="F331" s="37"/>
      <c r="G331" s="143">
        <v>139</v>
      </c>
      <c r="H331" s="37" t="s">
        <v>234</v>
      </c>
      <c r="I331" s="37"/>
      <c r="J331" s="37"/>
      <c r="K331" s="37"/>
    </row>
    <row r="332" spans="1:28" x14ac:dyDescent="0.2">
      <c r="C332" s="20" t="s">
        <v>92</v>
      </c>
      <c r="D332" s="37">
        <v>65</v>
      </c>
      <c r="E332" s="144">
        <v>23.14</v>
      </c>
      <c r="F332" s="37"/>
      <c r="G332" s="143">
        <v>95</v>
      </c>
      <c r="H332" s="37" t="s">
        <v>202</v>
      </c>
      <c r="I332" s="37"/>
      <c r="J332" s="37"/>
      <c r="K332" s="37"/>
    </row>
    <row r="333" spans="1:28" x14ac:dyDescent="0.2">
      <c r="C333" s="20" t="s">
        <v>95</v>
      </c>
      <c r="D333" s="37"/>
      <c r="E333" s="144">
        <v>104.91</v>
      </c>
      <c r="F333" s="37"/>
      <c r="G333" s="143">
        <v>430</v>
      </c>
      <c r="H333" s="37"/>
      <c r="I333" s="37"/>
      <c r="J333" s="37"/>
      <c r="K333" s="37"/>
    </row>
    <row r="334" spans="1:28" ht="99.75" x14ac:dyDescent="0.2">
      <c r="A334" s="149" t="s">
        <v>220</v>
      </c>
      <c r="B334" s="149" t="s">
        <v>1708</v>
      </c>
      <c r="C334" s="145" t="s">
        <v>456</v>
      </c>
      <c r="D334" s="3">
        <v>0.41799999999999998</v>
      </c>
      <c r="E334" s="141">
        <v>7950.51</v>
      </c>
      <c r="F334" s="141">
        <v>0</v>
      </c>
      <c r="G334" s="140">
        <v>3323</v>
      </c>
      <c r="H334" s="140">
        <v>0</v>
      </c>
      <c r="I334" s="142">
        <v>0</v>
      </c>
      <c r="J334" s="141">
        <v>0</v>
      </c>
      <c r="K334" s="141">
        <v>0</v>
      </c>
      <c r="T334">
        <v>3323</v>
      </c>
      <c r="U334">
        <v>3323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</row>
    <row r="335" spans="1:28" ht="14.25" x14ac:dyDescent="0.2">
      <c r="C335" s="35" t="s">
        <v>444</v>
      </c>
      <c r="D335" s="3"/>
      <c r="E335" s="139">
        <v>0</v>
      </c>
      <c r="F335" s="139">
        <v>0</v>
      </c>
      <c r="G335" s="140"/>
      <c r="H335" s="140"/>
      <c r="I335" s="140">
        <v>0</v>
      </c>
      <c r="J335" s="139">
        <v>0</v>
      </c>
      <c r="K335" s="139">
        <v>0</v>
      </c>
    </row>
    <row r="336" spans="1:28" x14ac:dyDescent="0.2">
      <c r="C336" s="36" t="s">
        <v>449</v>
      </c>
    </row>
    <row r="337" spans="1:28" ht="99.75" x14ac:dyDescent="0.2">
      <c r="A337" s="149" t="s">
        <v>221</v>
      </c>
      <c r="B337" s="149" t="s">
        <v>1730</v>
      </c>
      <c r="C337" s="145" t="s">
        <v>1731</v>
      </c>
      <c r="D337" s="3">
        <v>2.25</v>
      </c>
      <c r="E337" s="141">
        <v>38.590000000000003</v>
      </c>
      <c r="F337" s="141">
        <v>1.81</v>
      </c>
      <c r="G337" s="140">
        <v>87</v>
      </c>
      <c r="H337" s="140">
        <v>60</v>
      </c>
      <c r="I337" s="142">
        <v>4</v>
      </c>
      <c r="J337" s="141">
        <v>2.82</v>
      </c>
      <c r="K337" s="141">
        <v>6.3449999999999998</v>
      </c>
      <c r="T337">
        <v>185</v>
      </c>
      <c r="U337">
        <v>23</v>
      </c>
      <c r="V337">
        <v>60</v>
      </c>
      <c r="W337">
        <v>4</v>
      </c>
      <c r="X337">
        <v>1</v>
      </c>
      <c r="Y337">
        <v>6.3449999999999998</v>
      </c>
      <c r="Z337">
        <v>4.4999999999999998E-2</v>
      </c>
      <c r="AA337">
        <v>58</v>
      </c>
      <c r="AB337">
        <v>40</v>
      </c>
    </row>
    <row r="338" spans="1:28" ht="14.25" x14ac:dyDescent="0.2">
      <c r="C338" s="35" t="s">
        <v>169</v>
      </c>
      <c r="D338" s="3"/>
      <c r="E338" s="139">
        <v>26.51</v>
      </c>
      <c r="F338" s="139">
        <v>0.26</v>
      </c>
      <c r="G338" s="140"/>
      <c r="H338" s="140"/>
      <c r="I338" s="140">
        <v>1</v>
      </c>
      <c r="J338" s="139">
        <v>0.02</v>
      </c>
      <c r="K338" s="139">
        <v>4.4999999999999998E-2</v>
      </c>
    </row>
    <row r="339" spans="1:28" x14ac:dyDescent="0.2">
      <c r="C339" s="36" t="s">
        <v>476</v>
      </c>
    </row>
    <row r="340" spans="1:28" x14ac:dyDescent="0.2">
      <c r="C340" s="20" t="s">
        <v>89</v>
      </c>
      <c r="D340" s="37">
        <v>95</v>
      </c>
      <c r="E340" s="144">
        <v>25.4315</v>
      </c>
      <c r="F340" s="37"/>
      <c r="G340" s="143">
        <v>58</v>
      </c>
      <c r="H340" s="37" t="s">
        <v>234</v>
      </c>
      <c r="I340" s="37"/>
      <c r="J340" s="37"/>
      <c r="K340" s="37"/>
    </row>
    <row r="341" spans="1:28" x14ac:dyDescent="0.2">
      <c r="C341" s="20" t="s">
        <v>92</v>
      </c>
      <c r="D341" s="37">
        <v>65</v>
      </c>
      <c r="E341" s="144">
        <v>17.400500000000001</v>
      </c>
      <c r="F341" s="37"/>
      <c r="G341" s="143">
        <v>40</v>
      </c>
      <c r="H341" s="37" t="s">
        <v>202</v>
      </c>
      <c r="I341" s="37"/>
      <c r="J341" s="37"/>
      <c r="K341" s="37"/>
    </row>
    <row r="342" spans="1:28" x14ac:dyDescent="0.2">
      <c r="C342" s="20" t="s">
        <v>95</v>
      </c>
      <c r="D342" s="37"/>
      <c r="E342" s="144">
        <v>81.421999999999997</v>
      </c>
      <c r="F342" s="37"/>
      <c r="G342" s="143">
        <v>185</v>
      </c>
      <c r="H342" s="37"/>
      <c r="I342" s="37"/>
      <c r="J342" s="37"/>
      <c r="K342" s="37"/>
    </row>
    <row r="343" spans="1:28" ht="99.75" x14ac:dyDescent="0.2">
      <c r="A343" s="149" t="s">
        <v>222</v>
      </c>
      <c r="B343" s="149" t="s">
        <v>1696</v>
      </c>
      <c r="C343" s="145" t="s">
        <v>448</v>
      </c>
      <c r="D343" s="3">
        <v>0.23</v>
      </c>
      <c r="E343" s="141">
        <v>4832.12</v>
      </c>
      <c r="F343" s="141">
        <v>0</v>
      </c>
      <c r="G343" s="140">
        <v>1111</v>
      </c>
      <c r="H343" s="140">
        <v>0</v>
      </c>
      <c r="I343" s="142">
        <v>0</v>
      </c>
      <c r="J343" s="141">
        <v>0</v>
      </c>
      <c r="K343" s="141">
        <v>0</v>
      </c>
      <c r="T343">
        <v>1111</v>
      </c>
      <c r="U343">
        <v>1111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</row>
    <row r="344" spans="1:28" ht="14.25" x14ac:dyDescent="0.2">
      <c r="C344" s="35" t="s">
        <v>444</v>
      </c>
      <c r="D344" s="3"/>
      <c r="E344" s="139">
        <v>0</v>
      </c>
      <c r="F344" s="139">
        <v>0</v>
      </c>
      <c r="G344" s="140"/>
      <c r="H344" s="140"/>
      <c r="I344" s="140">
        <v>0</v>
      </c>
      <c r="J344" s="139">
        <v>0</v>
      </c>
      <c r="K344" s="139">
        <v>0</v>
      </c>
    </row>
    <row r="345" spans="1:28" x14ac:dyDescent="0.2">
      <c r="C345" s="36" t="s">
        <v>477</v>
      </c>
    </row>
    <row r="346" spans="1:28" ht="99.75" x14ac:dyDescent="0.2">
      <c r="A346" s="149" t="s">
        <v>102</v>
      </c>
      <c r="B346" s="149" t="s">
        <v>1732</v>
      </c>
      <c r="C346" s="145" t="s">
        <v>1733</v>
      </c>
      <c r="D346" s="3">
        <v>0.4</v>
      </c>
      <c r="E346" s="141">
        <v>1088.05</v>
      </c>
      <c r="F346" s="141">
        <v>58.09</v>
      </c>
      <c r="G346" s="140">
        <v>435</v>
      </c>
      <c r="H346" s="140">
        <v>54</v>
      </c>
      <c r="I346" s="142">
        <v>23</v>
      </c>
      <c r="J346" s="141">
        <v>14.4</v>
      </c>
      <c r="K346" s="141">
        <v>5.7600000000000007</v>
      </c>
      <c r="T346">
        <v>524</v>
      </c>
      <c r="U346">
        <v>358</v>
      </c>
      <c r="V346">
        <v>54</v>
      </c>
      <c r="W346">
        <v>23</v>
      </c>
      <c r="X346">
        <v>2</v>
      </c>
      <c r="Y346">
        <v>5.7600000000000007</v>
      </c>
      <c r="Z346">
        <v>0.16000000000000003</v>
      </c>
      <c r="AA346">
        <v>53</v>
      </c>
      <c r="AB346">
        <v>36</v>
      </c>
    </row>
    <row r="347" spans="1:28" ht="14.25" x14ac:dyDescent="0.2">
      <c r="C347" s="35" t="s">
        <v>169</v>
      </c>
      <c r="D347" s="3"/>
      <c r="E347" s="139">
        <v>135.36000000000001</v>
      </c>
      <c r="F347" s="139">
        <v>5.0199999999999996</v>
      </c>
      <c r="G347" s="140"/>
      <c r="H347" s="140"/>
      <c r="I347" s="140">
        <v>2</v>
      </c>
      <c r="J347" s="139">
        <v>0.4</v>
      </c>
      <c r="K347" s="139">
        <v>0.16000000000000003</v>
      </c>
    </row>
    <row r="348" spans="1:28" x14ac:dyDescent="0.2">
      <c r="C348" s="36" t="s">
        <v>359</v>
      </c>
    </row>
    <row r="349" spans="1:28" x14ac:dyDescent="0.2">
      <c r="C349" s="20" t="s">
        <v>89</v>
      </c>
      <c r="D349" s="37">
        <v>95</v>
      </c>
      <c r="E349" s="144">
        <v>133.36100000000002</v>
      </c>
      <c r="F349" s="37"/>
      <c r="G349" s="143">
        <v>53</v>
      </c>
      <c r="H349" s="37" t="s">
        <v>234</v>
      </c>
      <c r="I349" s="37"/>
      <c r="J349" s="37"/>
      <c r="K349" s="37"/>
    </row>
    <row r="350" spans="1:28" x14ac:dyDescent="0.2">
      <c r="C350" s="20" t="s">
        <v>92</v>
      </c>
      <c r="D350" s="37">
        <v>65</v>
      </c>
      <c r="E350" s="144">
        <v>91.247000000000014</v>
      </c>
      <c r="F350" s="37"/>
      <c r="G350" s="143">
        <v>36</v>
      </c>
      <c r="H350" s="37" t="s">
        <v>202</v>
      </c>
      <c r="I350" s="37"/>
      <c r="J350" s="37"/>
      <c r="K350" s="37"/>
    </row>
    <row r="351" spans="1:28" x14ac:dyDescent="0.2">
      <c r="C351" s="20" t="s">
        <v>95</v>
      </c>
      <c r="D351" s="37"/>
      <c r="E351" s="144">
        <v>1312.6579999999999</v>
      </c>
      <c r="F351" s="37"/>
      <c r="G351" s="143">
        <v>524</v>
      </c>
      <c r="H351" s="37"/>
      <c r="I351" s="37"/>
      <c r="J351" s="37"/>
      <c r="K351" s="37"/>
    </row>
    <row r="352" spans="1:28" ht="99.75" x14ac:dyDescent="0.2">
      <c r="A352" s="149" t="s">
        <v>109</v>
      </c>
      <c r="B352" s="149" t="s">
        <v>1734</v>
      </c>
      <c r="C352" s="145" t="s">
        <v>478</v>
      </c>
      <c r="D352" s="3">
        <v>7.0999999999999994E-2</v>
      </c>
      <c r="E352" s="141">
        <v>8377.27</v>
      </c>
      <c r="F352" s="141">
        <v>0</v>
      </c>
      <c r="G352" s="140">
        <v>595</v>
      </c>
      <c r="H352" s="140">
        <v>0</v>
      </c>
      <c r="I352" s="142">
        <v>0</v>
      </c>
      <c r="J352" s="141">
        <v>0</v>
      </c>
      <c r="K352" s="141">
        <v>0</v>
      </c>
      <c r="T352">
        <v>595</v>
      </c>
      <c r="U352">
        <v>595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</row>
    <row r="353" spans="1:28" ht="14.25" x14ac:dyDescent="0.2">
      <c r="C353" s="35" t="s">
        <v>99</v>
      </c>
      <c r="D353" s="3"/>
      <c r="E353" s="139">
        <v>0</v>
      </c>
      <c r="F353" s="139">
        <v>0</v>
      </c>
      <c r="G353" s="140"/>
      <c r="H353" s="140"/>
      <c r="I353" s="140">
        <v>0</v>
      </c>
      <c r="J353" s="139">
        <v>0</v>
      </c>
      <c r="K353" s="139">
        <v>0</v>
      </c>
    </row>
    <row r="354" spans="1:28" x14ac:dyDescent="0.2">
      <c r="C354" s="36" t="s">
        <v>479</v>
      </c>
    </row>
    <row r="355" spans="1:28" ht="99.75" x14ac:dyDescent="0.2">
      <c r="A355" s="149" t="s">
        <v>223</v>
      </c>
      <c r="B355" s="149" t="s">
        <v>1735</v>
      </c>
      <c r="C355" s="145" t="s">
        <v>1736</v>
      </c>
      <c r="D355" s="3">
        <v>0.8</v>
      </c>
      <c r="E355" s="141">
        <v>615.73</v>
      </c>
      <c r="F355" s="141">
        <v>43.02</v>
      </c>
      <c r="G355" s="140">
        <v>492</v>
      </c>
      <c r="H355" s="140">
        <v>70</v>
      </c>
      <c r="I355" s="142">
        <v>34</v>
      </c>
      <c r="J355" s="141">
        <v>9.27</v>
      </c>
      <c r="K355" s="141">
        <v>7.4160000000000004</v>
      </c>
      <c r="T355">
        <v>608</v>
      </c>
      <c r="U355">
        <v>388</v>
      </c>
      <c r="V355">
        <v>70</v>
      </c>
      <c r="W355">
        <v>34</v>
      </c>
      <c r="X355">
        <v>3</v>
      </c>
      <c r="Y355">
        <v>7.4160000000000004</v>
      </c>
      <c r="Z355">
        <v>0.27200000000000002</v>
      </c>
      <c r="AA355">
        <v>69</v>
      </c>
      <c r="AB355">
        <v>47</v>
      </c>
    </row>
    <row r="356" spans="1:28" ht="14.25" x14ac:dyDescent="0.2">
      <c r="C356" s="35" t="s">
        <v>173</v>
      </c>
      <c r="D356" s="3"/>
      <c r="E356" s="139">
        <v>87.14</v>
      </c>
      <c r="F356" s="139">
        <v>4.2699999999999996</v>
      </c>
      <c r="G356" s="140"/>
      <c r="H356" s="140"/>
      <c r="I356" s="140">
        <v>3</v>
      </c>
      <c r="J356" s="139">
        <v>0.34</v>
      </c>
      <c r="K356" s="139">
        <v>0.27200000000000002</v>
      </c>
    </row>
    <row r="357" spans="1:28" x14ac:dyDescent="0.2">
      <c r="C357" s="36" t="s">
        <v>435</v>
      </c>
    </row>
    <row r="358" spans="1:28" x14ac:dyDescent="0.2">
      <c r="C358" s="20" t="s">
        <v>89</v>
      </c>
      <c r="D358" s="37">
        <v>95</v>
      </c>
      <c r="E358" s="144">
        <v>86.839499999999987</v>
      </c>
      <c r="F358" s="37"/>
      <c r="G358" s="143">
        <v>69</v>
      </c>
      <c r="H358" s="37" t="s">
        <v>234</v>
      </c>
      <c r="I358" s="37"/>
      <c r="J358" s="37"/>
      <c r="K358" s="37"/>
    </row>
    <row r="359" spans="1:28" x14ac:dyDescent="0.2">
      <c r="C359" s="20" t="s">
        <v>92</v>
      </c>
      <c r="D359" s="37">
        <v>65</v>
      </c>
      <c r="E359" s="144">
        <v>59.416499999999999</v>
      </c>
      <c r="F359" s="37"/>
      <c r="G359" s="143">
        <v>47</v>
      </c>
      <c r="H359" s="37" t="s">
        <v>202</v>
      </c>
      <c r="I359" s="37"/>
      <c r="J359" s="37"/>
      <c r="K359" s="37"/>
    </row>
    <row r="360" spans="1:28" x14ac:dyDescent="0.2">
      <c r="C360" s="20" t="s">
        <v>95</v>
      </c>
      <c r="D360" s="37"/>
      <c r="E360" s="144">
        <v>761.98599999999999</v>
      </c>
      <c r="F360" s="37"/>
      <c r="G360" s="143">
        <v>608</v>
      </c>
      <c r="H360" s="37"/>
      <c r="I360" s="37"/>
      <c r="J360" s="37"/>
      <c r="K360" s="37"/>
    </row>
    <row r="361" spans="1:28" ht="99.75" x14ac:dyDescent="0.2">
      <c r="A361" s="149" t="s">
        <v>224</v>
      </c>
      <c r="B361" s="149" t="s">
        <v>1737</v>
      </c>
      <c r="C361" s="145" t="s">
        <v>480</v>
      </c>
      <c r="D361" s="3">
        <v>0.03</v>
      </c>
      <c r="E361" s="141">
        <v>5763</v>
      </c>
      <c r="F361" s="141">
        <v>0</v>
      </c>
      <c r="G361" s="140">
        <v>173</v>
      </c>
      <c r="H361" s="140">
        <v>0</v>
      </c>
      <c r="I361" s="142">
        <v>0</v>
      </c>
      <c r="J361" s="141">
        <v>0</v>
      </c>
      <c r="K361" s="141">
        <v>0</v>
      </c>
      <c r="T361">
        <v>173</v>
      </c>
      <c r="U361">
        <v>173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</row>
    <row r="362" spans="1:28" ht="14.25" x14ac:dyDescent="0.2">
      <c r="C362" s="35" t="s">
        <v>99</v>
      </c>
      <c r="D362" s="3"/>
      <c r="E362" s="139">
        <v>0</v>
      </c>
      <c r="F362" s="139">
        <v>0</v>
      </c>
      <c r="G362" s="140"/>
      <c r="H362" s="140"/>
      <c r="I362" s="140">
        <v>0</v>
      </c>
      <c r="J362" s="139">
        <v>0</v>
      </c>
      <c r="K362" s="139">
        <v>0</v>
      </c>
    </row>
    <row r="363" spans="1:28" x14ac:dyDescent="0.2">
      <c r="C363" s="36" t="s">
        <v>481</v>
      </c>
    </row>
    <row r="365" spans="1:28" ht="15" x14ac:dyDescent="0.25">
      <c r="A365" s="4"/>
      <c r="B365" s="4"/>
      <c r="C365" s="187" t="s">
        <v>482</v>
      </c>
      <c r="D365" s="187"/>
      <c r="E365" s="187"/>
      <c r="F365" s="187"/>
      <c r="G365" s="136">
        <f>IF(SUM(T231:T364)=0, "-", SUM(T231:T364))</f>
        <v>83181</v>
      </c>
      <c r="H365" s="136">
        <f>IF(SUM(V231:V364)=0, "-", SUM(V231:V364))</f>
        <v>6041</v>
      </c>
      <c r="I365" s="138">
        <f>IF(SUM(W231:W364)=0, "-", SUM(W231:W364))</f>
        <v>201</v>
      </c>
      <c r="J365" s="136"/>
      <c r="K365" s="137">
        <f>IF(SUM(Y231:Y364)=0, "-", SUM(Y231:Y364))</f>
        <v>663.09350000000018</v>
      </c>
    </row>
    <row r="366" spans="1:28" ht="15" x14ac:dyDescent="0.25">
      <c r="A366" s="4"/>
      <c r="B366" s="4"/>
      <c r="C366" s="4"/>
      <c r="D366" s="4"/>
      <c r="E366" s="4"/>
      <c r="F366" s="4"/>
      <c r="G366" s="136"/>
      <c r="H366" s="136"/>
      <c r="I366" s="136">
        <f>IF(SUM(X231:X364)=0, "-", SUM(X231:X364))</f>
        <v>22</v>
      </c>
      <c r="J366" s="136"/>
      <c r="K366" s="135">
        <f>IF(SUM(Z231:Z364)=0, "-", SUM(Z231:Z364))</f>
        <v>1.7929999999999999</v>
      </c>
    </row>
    <row r="369" spans="1:11" ht="14.25" x14ac:dyDescent="0.2">
      <c r="C369" s="183" t="s">
        <v>127</v>
      </c>
      <c r="D369" s="183"/>
      <c r="E369" s="183"/>
      <c r="F369" s="183"/>
      <c r="G369" s="183"/>
      <c r="H369" s="172">
        <v>6041</v>
      </c>
      <c r="I369" s="172"/>
    </row>
    <row r="370" spans="1:11" ht="14.25" x14ac:dyDescent="0.2">
      <c r="C370" s="183" t="s">
        <v>128</v>
      </c>
      <c r="D370" s="183"/>
      <c r="E370" s="183"/>
      <c r="F370" s="183"/>
      <c r="G370" s="183"/>
      <c r="H370" s="172">
        <v>201</v>
      </c>
      <c r="I370" s="172"/>
    </row>
    <row r="371" spans="1:11" ht="14.25" x14ac:dyDescent="0.2">
      <c r="C371" s="183" t="s">
        <v>129</v>
      </c>
      <c r="D371" s="183"/>
      <c r="E371" s="183"/>
      <c r="F371" s="183"/>
      <c r="G371" s="183"/>
      <c r="H371" s="172">
        <v>67265</v>
      </c>
      <c r="I371" s="172"/>
    </row>
    <row r="372" spans="1:11" ht="14.25" x14ac:dyDescent="0.2">
      <c r="C372" s="183" t="s">
        <v>130</v>
      </c>
      <c r="D372" s="183"/>
      <c r="E372" s="183"/>
      <c r="F372" s="183"/>
      <c r="G372" s="183"/>
      <c r="H372" s="172">
        <v>5833</v>
      </c>
      <c r="I372" s="172"/>
    </row>
    <row r="373" spans="1:11" ht="14.25" x14ac:dyDescent="0.2">
      <c r="C373" s="183" t="s">
        <v>131</v>
      </c>
      <c r="D373" s="183"/>
      <c r="E373" s="183"/>
      <c r="F373" s="183"/>
      <c r="G373" s="183"/>
      <c r="H373" s="172">
        <v>3841</v>
      </c>
      <c r="I373" s="172"/>
    </row>
    <row r="374" spans="1:11" ht="14.25" x14ac:dyDescent="0.2">
      <c r="C374" s="183" t="s">
        <v>134</v>
      </c>
      <c r="D374" s="183"/>
      <c r="E374" s="183"/>
      <c r="F374" s="183"/>
      <c r="G374" s="183"/>
      <c r="H374" s="172">
        <v>83181</v>
      </c>
      <c r="I374" s="172"/>
    </row>
    <row r="376" spans="1:11" ht="15" x14ac:dyDescent="0.25">
      <c r="A376" s="4"/>
      <c r="B376" s="4"/>
      <c r="C376" s="187" t="s">
        <v>483</v>
      </c>
      <c r="D376" s="187"/>
      <c r="E376" s="187"/>
      <c r="F376" s="187"/>
      <c r="G376" s="136">
        <f>IF(SUM(T23:T375)=0, "-", SUM(T23:T375))</f>
        <v>140520</v>
      </c>
      <c r="H376" s="136">
        <f>IF(SUM(V23:V375)=0, "-", SUM(V23:V375))</f>
        <v>7696</v>
      </c>
      <c r="I376" s="138">
        <f>IF(SUM(W23:W375)=0, "-", SUM(W23:W375))</f>
        <v>1419</v>
      </c>
      <c r="J376" s="136"/>
      <c r="K376" s="137">
        <f>IF(SUM(Y23:Y375)=0, "-", SUM(Y23:Y375))</f>
        <v>834.00332000000014</v>
      </c>
    </row>
    <row r="377" spans="1:11" ht="15" x14ac:dyDescent="0.25">
      <c r="A377" s="4"/>
      <c r="B377" s="4"/>
      <c r="C377" s="4"/>
      <c r="D377" s="4"/>
      <c r="E377" s="4"/>
      <c r="F377" s="4"/>
      <c r="G377" s="136"/>
      <c r="H377" s="136"/>
      <c r="I377" s="136">
        <f>IF(SUM(X23:X375)=0, "-", SUM(X23:X375))</f>
        <v>187</v>
      </c>
      <c r="J377" s="136"/>
      <c r="K377" s="135">
        <f>IF(SUM(Z23:Z375)=0, "-", SUM(Z23:Z375))</f>
        <v>15.005540000000002</v>
      </c>
    </row>
    <row r="380" spans="1:11" ht="14.25" x14ac:dyDescent="0.2">
      <c r="C380" s="183" t="s">
        <v>127</v>
      </c>
      <c r="D380" s="183"/>
      <c r="E380" s="183"/>
      <c r="F380" s="183"/>
      <c r="G380" s="183"/>
      <c r="H380" s="172">
        <v>7696</v>
      </c>
      <c r="I380" s="172"/>
    </row>
    <row r="381" spans="1:11" ht="14.25" x14ac:dyDescent="0.2">
      <c r="C381" s="183" t="s">
        <v>128</v>
      </c>
      <c r="D381" s="183"/>
      <c r="E381" s="183"/>
      <c r="F381" s="183"/>
      <c r="G381" s="183"/>
      <c r="H381" s="172">
        <v>1419</v>
      </c>
      <c r="I381" s="172"/>
    </row>
    <row r="382" spans="1:11" ht="14.25" x14ac:dyDescent="0.2">
      <c r="C382" s="183" t="s">
        <v>129</v>
      </c>
      <c r="D382" s="183"/>
      <c r="E382" s="183"/>
      <c r="F382" s="183"/>
      <c r="G382" s="183"/>
      <c r="H382" s="172">
        <v>118832</v>
      </c>
      <c r="I382" s="172"/>
    </row>
    <row r="383" spans="1:11" ht="14.25" x14ac:dyDescent="0.2">
      <c r="C383" s="183" t="s">
        <v>130</v>
      </c>
      <c r="D383" s="183"/>
      <c r="E383" s="183"/>
      <c r="F383" s="183"/>
      <c r="G383" s="183"/>
      <c r="H383" s="172">
        <v>7549</v>
      </c>
      <c r="I383" s="172"/>
    </row>
    <row r="384" spans="1:11" ht="14.25" x14ac:dyDescent="0.2">
      <c r="C384" s="183" t="s">
        <v>131</v>
      </c>
      <c r="D384" s="183"/>
      <c r="E384" s="183"/>
      <c r="F384" s="183"/>
      <c r="G384" s="183"/>
      <c r="H384" s="172">
        <v>5024</v>
      </c>
      <c r="I384" s="172"/>
    </row>
    <row r="385" spans="1:11" ht="14.25" x14ac:dyDescent="0.2">
      <c r="C385" s="183" t="s">
        <v>134</v>
      </c>
      <c r="D385" s="183"/>
      <c r="E385" s="183"/>
      <c r="F385" s="183"/>
      <c r="G385" s="183"/>
      <c r="H385" s="172">
        <v>140520</v>
      </c>
      <c r="I385" s="172"/>
    </row>
    <row r="387" spans="1:11" ht="14.25" x14ac:dyDescent="0.2">
      <c r="A387" s="173" t="s">
        <v>315</v>
      </c>
      <c r="B387" s="173"/>
      <c r="C387" s="151" t="s">
        <v>316</v>
      </c>
      <c r="D387" s="31"/>
      <c r="E387" s="31"/>
      <c r="F387" s="31"/>
      <c r="G387" s="31"/>
      <c r="H387" s="31"/>
      <c r="I387" s="150" t="s">
        <v>317</v>
      </c>
      <c r="J387" s="3"/>
      <c r="K387" s="3"/>
    </row>
    <row r="388" spans="1:11" ht="14.25" x14ac:dyDescent="0.2">
      <c r="A388" s="3"/>
      <c r="B388" s="3"/>
      <c r="C388" s="189" t="s">
        <v>318</v>
      </c>
      <c r="D388" s="189"/>
      <c r="E388" s="189"/>
      <c r="F388" s="189"/>
      <c r="G388" s="189"/>
      <c r="H388" s="189"/>
      <c r="I388" s="3"/>
      <c r="J388" s="3"/>
      <c r="K388" s="3"/>
    </row>
    <row r="389" spans="1:11" ht="14.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4.25" x14ac:dyDescent="0.2">
      <c r="A390" s="173" t="s">
        <v>319</v>
      </c>
      <c r="B390" s="173"/>
      <c r="C390" s="151" t="s">
        <v>320</v>
      </c>
      <c r="D390" s="31"/>
      <c r="E390" s="31"/>
      <c r="F390" s="31"/>
      <c r="G390" s="31"/>
      <c r="H390" s="31"/>
      <c r="I390" s="150" t="s">
        <v>321</v>
      </c>
      <c r="J390" s="3"/>
      <c r="K390" s="3"/>
    </row>
    <row r="391" spans="1:11" ht="14.25" x14ac:dyDescent="0.2">
      <c r="A391" s="3"/>
      <c r="B391" s="3"/>
      <c r="C391" s="189" t="s">
        <v>318</v>
      </c>
      <c r="D391" s="189"/>
      <c r="E391" s="189"/>
      <c r="F391" s="189"/>
      <c r="G391" s="189"/>
      <c r="H391" s="189"/>
      <c r="I391" s="3"/>
      <c r="J391" s="3"/>
      <c r="K391" s="3"/>
    </row>
  </sheetData>
  <mergeCells count="94">
    <mergeCell ref="A3:B3"/>
    <mergeCell ref="C3:K3"/>
    <mergeCell ref="A5:K5"/>
    <mergeCell ref="A6:K6"/>
    <mergeCell ref="A8:K8"/>
    <mergeCell ref="A10:E15"/>
    <mergeCell ref="F10:H10"/>
    <mergeCell ref="I10:J10"/>
    <mergeCell ref="F14:H14"/>
    <mergeCell ref="I14:J14"/>
    <mergeCell ref="F15:H15"/>
    <mergeCell ref="I15:J15"/>
    <mergeCell ref="I11:J11"/>
    <mergeCell ref="I12:J12"/>
    <mergeCell ref="I13:J13"/>
    <mergeCell ref="G16:I16"/>
    <mergeCell ref="A23:K23"/>
    <mergeCell ref="A25:K25"/>
    <mergeCell ref="C109:F109"/>
    <mergeCell ref="A16:A20"/>
    <mergeCell ref="B16:B20"/>
    <mergeCell ref="C16:C20"/>
    <mergeCell ref="D16:D20"/>
    <mergeCell ref="E16:F16"/>
    <mergeCell ref="J16:K18"/>
    <mergeCell ref="E17:E18"/>
    <mergeCell ref="F17:F18"/>
    <mergeCell ref="G17:G20"/>
    <mergeCell ref="H17:H20"/>
    <mergeCell ref="I17:I18"/>
    <mergeCell ref="E19:E20"/>
    <mergeCell ref="F19:F20"/>
    <mergeCell ref="I19:I20"/>
    <mergeCell ref="J19:K19"/>
    <mergeCell ref="C113:G113"/>
    <mergeCell ref="H113:I113"/>
    <mergeCell ref="C115:G115"/>
    <mergeCell ref="H115:I115"/>
    <mergeCell ref="C116:G116"/>
    <mergeCell ref="H116:I116"/>
    <mergeCell ref="C114:G114"/>
    <mergeCell ref="H114:I114"/>
    <mergeCell ref="C220:F220"/>
    <mergeCell ref="C224:G224"/>
    <mergeCell ref="H224:I224"/>
    <mergeCell ref="C225:G225"/>
    <mergeCell ref="H225:I225"/>
    <mergeCell ref="C117:G117"/>
    <mergeCell ref="H117:I117"/>
    <mergeCell ref="C118:G118"/>
    <mergeCell ref="H118:I118"/>
    <mergeCell ref="A120:K120"/>
    <mergeCell ref="C226:G226"/>
    <mergeCell ref="H226:I226"/>
    <mergeCell ref="C227:G227"/>
    <mergeCell ref="H227:I227"/>
    <mergeCell ref="H370:I370"/>
    <mergeCell ref="C371:G371"/>
    <mergeCell ref="H371:I371"/>
    <mergeCell ref="C228:G228"/>
    <mergeCell ref="H228:I228"/>
    <mergeCell ref="C229:G229"/>
    <mergeCell ref="H229:I229"/>
    <mergeCell ref="A231:K231"/>
    <mergeCell ref="C365:F365"/>
    <mergeCell ref="C369:G369"/>
    <mergeCell ref="H369:I369"/>
    <mergeCell ref="C370:G370"/>
    <mergeCell ref="C391:H391"/>
    <mergeCell ref="F11:H11"/>
    <mergeCell ref="F12:H12"/>
    <mergeCell ref="F13:H13"/>
    <mergeCell ref="C383:G383"/>
    <mergeCell ref="H383:I383"/>
    <mergeCell ref="C384:G384"/>
    <mergeCell ref="H384:I384"/>
    <mergeCell ref="C385:G385"/>
    <mergeCell ref="C388:H388"/>
    <mergeCell ref="C382:G382"/>
    <mergeCell ref="H382:I382"/>
    <mergeCell ref="C372:G372"/>
    <mergeCell ref="H372:I372"/>
    <mergeCell ref="H385:I385"/>
    <mergeCell ref="C376:F376"/>
    <mergeCell ref="C373:G373"/>
    <mergeCell ref="H373:I373"/>
    <mergeCell ref="C374:G374"/>
    <mergeCell ref="H374:I374"/>
    <mergeCell ref="A390:B390"/>
    <mergeCell ref="A387:B387"/>
    <mergeCell ref="C380:G380"/>
    <mergeCell ref="H380:I380"/>
    <mergeCell ref="C381:G381"/>
    <mergeCell ref="H381:I381"/>
  </mergeCells>
  <pageMargins left="0.4" right="0.2" top="0.2" bottom="0.4" header="0.2" footer="0.2"/>
  <pageSetup paperSize="9" scale="60" fitToHeight="0" orientation="portrait" r:id="rId1"/>
  <headerFooter>
    <oddHeader>&amp;L&amp;8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204"/>
  <sheetViews>
    <sheetView workbookViewId="0">
      <selection activeCell="AO213" sqref="AO213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29" width="0" hidden="1" customWidth="1"/>
    <col min="30" max="30" width="136.7109375" hidden="1" customWidth="1"/>
    <col min="31" max="37" width="0" hidden="1" customWidth="1"/>
  </cols>
  <sheetData>
    <row r="1" spans="1:30" x14ac:dyDescent="0.2">
      <c r="A1" s="2" t="s">
        <v>61</v>
      </c>
      <c r="K1" s="2" t="s">
        <v>62</v>
      </c>
    </row>
    <row r="2" spans="1:30" ht="14.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30" ht="31.5" x14ac:dyDescent="0.25">
      <c r="A3" s="177" t="s">
        <v>63</v>
      </c>
      <c r="B3" s="177"/>
      <c r="C3" s="178" t="s">
        <v>64</v>
      </c>
      <c r="D3" s="178"/>
      <c r="E3" s="178"/>
      <c r="F3" s="178"/>
      <c r="G3" s="178"/>
      <c r="H3" s="178"/>
      <c r="I3" s="178"/>
      <c r="J3" s="178"/>
      <c r="K3" s="178"/>
      <c r="L3" s="3"/>
      <c r="M3" s="3"/>
      <c r="AD3" s="32" t="s">
        <v>64</v>
      </c>
    </row>
    <row r="4" spans="1:30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"/>
      <c r="M4" s="3"/>
    </row>
    <row r="5" spans="1:30" ht="18" x14ac:dyDescent="0.25">
      <c r="A5" s="179" t="s">
        <v>484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3"/>
      <c r="M5" s="3"/>
    </row>
    <row r="6" spans="1:30" ht="18" x14ac:dyDescent="0.25">
      <c r="A6" s="180" t="s">
        <v>1821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3"/>
      <c r="M6" s="3"/>
    </row>
    <row r="7" spans="1:30" ht="14.25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"/>
      <c r="M7" s="3"/>
    </row>
    <row r="8" spans="1:30" ht="14.25" x14ac:dyDescent="0.2">
      <c r="A8" s="183" t="s">
        <v>486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3"/>
      <c r="M8" s="3"/>
    </row>
    <row r="9" spans="1:30" ht="14.25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"/>
      <c r="M9" s="3"/>
    </row>
    <row r="10" spans="1:30" ht="14.25" x14ac:dyDescent="0.2">
      <c r="A10" s="184" t="s">
        <v>67</v>
      </c>
      <c r="B10" s="184"/>
      <c r="C10" s="184"/>
      <c r="D10" s="184"/>
      <c r="E10" s="184"/>
      <c r="F10" s="171" t="s">
        <v>68</v>
      </c>
      <c r="G10" s="171"/>
      <c r="H10" s="171"/>
      <c r="I10" s="172">
        <v>15.42</v>
      </c>
      <c r="J10" s="173"/>
      <c r="K10" s="150" t="s">
        <v>69</v>
      </c>
      <c r="L10" s="3"/>
      <c r="M10" s="3"/>
    </row>
    <row r="11" spans="1:30" ht="14.25" x14ac:dyDescent="0.2">
      <c r="A11" s="184"/>
      <c r="B11" s="184"/>
      <c r="C11" s="184"/>
      <c r="D11" s="184"/>
      <c r="E11" s="184"/>
      <c r="F11" s="171" t="s">
        <v>326</v>
      </c>
      <c r="G11" s="171"/>
      <c r="H11" s="171"/>
      <c r="I11" s="172">
        <v>0.28000000000000003</v>
      </c>
      <c r="J11" s="173"/>
      <c r="K11" s="150" t="s">
        <v>69</v>
      </c>
      <c r="L11" s="3"/>
      <c r="M11" s="3"/>
    </row>
    <row r="12" spans="1:30" ht="14.25" x14ac:dyDescent="0.2">
      <c r="A12" s="184"/>
      <c r="B12" s="184"/>
      <c r="C12" s="184"/>
      <c r="D12" s="184"/>
      <c r="E12" s="184"/>
      <c r="F12" s="171" t="s">
        <v>327</v>
      </c>
      <c r="G12" s="171"/>
      <c r="H12" s="171"/>
      <c r="I12" s="172">
        <v>9.34</v>
      </c>
      <c r="J12" s="173"/>
      <c r="K12" s="150" t="s">
        <v>69</v>
      </c>
      <c r="L12" s="3"/>
      <c r="M12" s="3"/>
    </row>
    <row r="13" spans="1:30" ht="14.25" x14ac:dyDescent="0.2">
      <c r="A13" s="184"/>
      <c r="B13" s="184"/>
      <c r="C13" s="184"/>
      <c r="D13" s="184"/>
      <c r="E13" s="184"/>
      <c r="F13" s="171" t="s">
        <v>328</v>
      </c>
      <c r="G13" s="171"/>
      <c r="H13" s="171"/>
      <c r="I13" s="172">
        <v>5.8</v>
      </c>
      <c r="J13" s="173"/>
      <c r="K13" s="150" t="s">
        <v>69</v>
      </c>
      <c r="L13" s="3"/>
      <c r="M13" s="3"/>
    </row>
    <row r="14" spans="1:30" ht="14.25" x14ac:dyDescent="0.2">
      <c r="A14" s="184"/>
      <c r="B14" s="184"/>
      <c r="C14" s="184"/>
      <c r="D14" s="184"/>
      <c r="E14" s="184"/>
      <c r="F14" s="171" t="s">
        <v>70</v>
      </c>
      <c r="G14" s="171"/>
      <c r="H14" s="171"/>
      <c r="I14" s="172">
        <v>215.12099999999998</v>
      </c>
      <c r="J14" s="173"/>
      <c r="K14" s="150" t="s">
        <v>71</v>
      </c>
      <c r="L14" s="3"/>
      <c r="M14" s="3"/>
    </row>
    <row r="15" spans="1:30" ht="14.25" x14ac:dyDescent="0.2">
      <c r="A15" s="185"/>
      <c r="B15" s="185"/>
      <c r="C15" s="185"/>
      <c r="D15" s="185"/>
      <c r="E15" s="185"/>
      <c r="F15" s="174" t="s">
        <v>72</v>
      </c>
      <c r="G15" s="174"/>
      <c r="H15" s="174"/>
      <c r="I15" s="175">
        <v>2.0190000000000001</v>
      </c>
      <c r="J15" s="176"/>
      <c r="K15" s="150" t="s">
        <v>69</v>
      </c>
      <c r="L15" s="3"/>
      <c r="M15" s="3"/>
    </row>
    <row r="16" spans="1:30" ht="14.25" x14ac:dyDescent="0.2">
      <c r="A16" s="181" t="s">
        <v>16</v>
      </c>
      <c r="B16" s="181" t="s">
        <v>73</v>
      </c>
      <c r="C16" s="181" t="s">
        <v>74</v>
      </c>
      <c r="D16" s="181" t="s">
        <v>75</v>
      </c>
      <c r="E16" s="181" t="s">
        <v>76</v>
      </c>
      <c r="F16" s="181"/>
      <c r="G16" s="182" t="s">
        <v>77</v>
      </c>
      <c r="H16" s="182"/>
      <c r="I16" s="182"/>
      <c r="J16" s="181" t="s">
        <v>78</v>
      </c>
      <c r="K16" s="181"/>
      <c r="L16" s="3"/>
      <c r="M16" s="3"/>
    </row>
    <row r="17" spans="1:28" ht="20.100000000000001" customHeight="1" x14ac:dyDescent="0.2">
      <c r="A17" s="181"/>
      <c r="B17" s="181"/>
      <c r="C17" s="181"/>
      <c r="D17" s="181"/>
      <c r="E17" s="181" t="s">
        <v>79</v>
      </c>
      <c r="F17" s="181" t="s">
        <v>80</v>
      </c>
      <c r="G17" s="181" t="s">
        <v>79</v>
      </c>
      <c r="H17" s="181" t="s">
        <v>81</v>
      </c>
      <c r="I17" s="181" t="s">
        <v>80</v>
      </c>
      <c r="J17" s="181"/>
      <c r="K17" s="181"/>
      <c r="L17" s="3"/>
      <c r="M17" s="3"/>
    </row>
    <row r="18" spans="1:28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3"/>
      <c r="M18" s="3"/>
    </row>
    <row r="19" spans="1:28" ht="20.100000000000001" customHeight="1" x14ac:dyDescent="0.2">
      <c r="A19" s="181"/>
      <c r="B19" s="181"/>
      <c r="C19" s="181"/>
      <c r="D19" s="181"/>
      <c r="E19" s="181" t="s">
        <v>82</v>
      </c>
      <c r="F19" s="181" t="s">
        <v>83</v>
      </c>
      <c r="G19" s="181"/>
      <c r="H19" s="181"/>
      <c r="I19" s="181" t="s">
        <v>83</v>
      </c>
      <c r="J19" s="181" t="s">
        <v>84</v>
      </c>
      <c r="K19" s="181"/>
      <c r="L19" s="3"/>
      <c r="M19" s="3"/>
    </row>
    <row r="20" spans="1:28" ht="14.25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48" t="s">
        <v>85</v>
      </c>
      <c r="K20" s="148" t="s">
        <v>86</v>
      </c>
      <c r="L20" s="3"/>
      <c r="M20" s="3"/>
    </row>
    <row r="21" spans="1:28" ht="14.25" x14ac:dyDescent="0.2">
      <c r="A21" s="148">
        <v>1</v>
      </c>
      <c r="B21" s="148">
        <v>2</v>
      </c>
      <c r="C21" s="148">
        <v>3</v>
      </c>
      <c r="D21" s="148">
        <v>4</v>
      </c>
      <c r="E21" s="148">
        <v>5</v>
      </c>
      <c r="F21" s="148">
        <v>6</v>
      </c>
      <c r="G21" s="148">
        <v>7</v>
      </c>
      <c r="H21" s="148">
        <v>8</v>
      </c>
      <c r="I21" s="148">
        <v>9</v>
      </c>
      <c r="J21" s="148">
        <v>10</v>
      </c>
      <c r="K21" s="148">
        <v>11</v>
      </c>
      <c r="L21" s="3"/>
      <c r="M21" s="3"/>
    </row>
    <row r="23" spans="1:28" ht="16.5" x14ac:dyDescent="0.25">
      <c r="A23" s="186" t="s">
        <v>487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</row>
    <row r="25" spans="1:28" ht="16.5" x14ac:dyDescent="0.25">
      <c r="A25" s="186" t="s">
        <v>370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</row>
    <row r="26" spans="1:28" ht="99.75" x14ac:dyDescent="0.2">
      <c r="A26" s="149" t="s">
        <v>87</v>
      </c>
      <c r="B26" s="149" t="s">
        <v>1849</v>
      </c>
      <c r="C26" s="145" t="s">
        <v>1850</v>
      </c>
      <c r="D26" s="3">
        <v>0.1</v>
      </c>
      <c r="E26" s="141">
        <v>44.16</v>
      </c>
      <c r="F26" s="141">
        <v>0</v>
      </c>
      <c r="G26" s="140">
        <v>5</v>
      </c>
      <c r="H26" s="140">
        <v>4</v>
      </c>
      <c r="I26" s="142">
        <v>0</v>
      </c>
      <c r="J26" s="141">
        <v>3.9</v>
      </c>
      <c r="K26" s="141">
        <v>0.39</v>
      </c>
      <c r="T26">
        <v>10</v>
      </c>
      <c r="U26">
        <v>1</v>
      </c>
      <c r="V26">
        <v>4</v>
      </c>
      <c r="W26">
        <v>0</v>
      </c>
      <c r="X26">
        <v>0</v>
      </c>
      <c r="Y26">
        <v>0.39</v>
      </c>
      <c r="Z26">
        <v>0</v>
      </c>
      <c r="AA26">
        <v>3</v>
      </c>
      <c r="AB26">
        <v>2</v>
      </c>
    </row>
    <row r="27" spans="1:28" ht="14.25" x14ac:dyDescent="0.2">
      <c r="C27" s="35" t="s">
        <v>488</v>
      </c>
      <c r="D27" s="3"/>
      <c r="E27" s="139">
        <v>38.69</v>
      </c>
      <c r="F27" s="139">
        <v>0</v>
      </c>
      <c r="G27" s="140"/>
      <c r="H27" s="140"/>
      <c r="I27" s="140">
        <v>0</v>
      </c>
      <c r="J27" s="139">
        <v>0</v>
      </c>
      <c r="K27" s="139">
        <v>0</v>
      </c>
    </row>
    <row r="28" spans="1:28" x14ac:dyDescent="0.2">
      <c r="C28" s="36" t="s">
        <v>418</v>
      </c>
    </row>
    <row r="29" spans="1:28" x14ac:dyDescent="0.2">
      <c r="C29" s="20" t="s">
        <v>89</v>
      </c>
      <c r="D29" s="37">
        <v>80</v>
      </c>
      <c r="E29" s="144">
        <v>30.951999999999998</v>
      </c>
      <c r="F29" s="37"/>
      <c r="G29" s="143">
        <v>3</v>
      </c>
      <c r="H29" s="37" t="s">
        <v>222</v>
      </c>
      <c r="I29" s="37"/>
      <c r="J29" s="37"/>
      <c r="K29" s="37"/>
    </row>
    <row r="30" spans="1:28" x14ac:dyDescent="0.2">
      <c r="C30" s="20" t="s">
        <v>92</v>
      </c>
      <c r="D30" s="37">
        <v>60</v>
      </c>
      <c r="E30" s="144">
        <v>23.213999999999995</v>
      </c>
      <c r="F30" s="37"/>
      <c r="G30" s="143">
        <v>2</v>
      </c>
      <c r="H30" s="37" t="s">
        <v>198</v>
      </c>
      <c r="I30" s="37"/>
      <c r="J30" s="37"/>
      <c r="K30" s="37"/>
    </row>
    <row r="31" spans="1:28" x14ac:dyDescent="0.2">
      <c r="C31" s="20" t="s">
        <v>95</v>
      </c>
      <c r="D31" s="37"/>
      <c r="E31" s="144">
        <v>98.325999999999993</v>
      </c>
      <c r="F31" s="37"/>
      <c r="G31" s="143">
        <v>10</v>
      </c>
      <c r="H31" s="37"/>
      <c r="I31" s="37"/>
      <c r="J31" s="37"/>
      <c r="K31" s="37"/>
    </row>
    <row r="32" spans="1:28" ht="99.75" x14ac:dyDescent="0.2">
      <c r="A32" s="149" t="s">
        <v>96</v>
      </c>
      <c r="B32" s="149" t="s">
        <v>1851</v>
      </c>
      <c r="C32" s="145" t="s">
        <v>489</v>
      </c>
      <c r="D32" s="3">
        <v>1</v>
      </c>
      <c r="E32" s="141">
        <v>225.51</v>
      </c>
      <c r="F32" s="141">
        <v>0</v>
      </c>
      <c r="G32" s="140">
        <v>226</v>
      </c>
      <c r="H32" s="140">
        <v>0</v>
      </c>
      <c r="I32" s="142">
        <v>0</v>
      </c>
      <c r="J32" s="141">
        <v>0</v>
      </c>
      <c r="K32" s="141">
        <v>0</v>
      </c>
      <c r="T32">
        <v>226</v>
      </c>
      <c r="U32">
        <v>226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ht="14.25" x14ac:dyDescent="0.2">
      <c r="C33" s="35" t="s">
        <v>158</v>
      </c>
      <c r="D33" s="3"/>
      <c r="E33" s="139">
        <v>0</v>
      </c>
      <c r="F33" s="139">
        <v>0</v>
      </c>
      <c r="G33" s="140"/>
      <c r="H33" s="140"/>
      <c r="I33" s="140">
        <v>0</v>
      </c>
      <c r="J33" s="139">
        <v>0</v>
      </c>
      <c r="K33" s="139">
        <v>0</v>
      </c>
    </row>
    <row r="34" spans="1:28" ht="99.75" x14ac:dyDescent="0.2">
      <c r="A34" s="149" t="s">
        <v>100</v>
      </c>
      <c r="B34" s="149" t="s">
        <v>1852</v>
      </c>
      <c r="C34" s="145" t="s">
        <v>1853</v>
      </c>
      <c r="D34" s="3">
        <v>1</v>
      </c>
      <c r="E34" s="141">
        <v>40.47</v>
      </c>
      <c r="F34" s="141">
        <v>0</v>
      </c>
      <c r="G34" s="140">
        <v>41</v>
      </c>
      <c r="H34" s="140">
        <v>20</v>
      </c>
      <c r="I34" s="142">
        <v>0</v>
      </c>
      <c r="J34" s="141">
        <v>2.06</v>
      </c>
      <c r="K34" s="141">
        <v>2.06</v>
      </c>
      <c r="T34">
        <v>73</v>
      </c>
      <c r="U34">
        <v>21</v>
      </c>
      <c r="V34">
        <v>20</v>
      </c>
      <c r="W34">
        <v>0</v>
      </c>
      <c r="X34">
        <v>0</v>
      </c>
      <c r="Y34">
        <v>2.06</v>
      </c>
      <c r="Z34">
        <v>0</v>
      </c>
      <c r="AA34">
        <v>19</v>
      </c>
      <c r="AB34">
        <v>13</v>
      </c>
    </row>
    <row r="35" spans="1:28" ht="14.25" x14ac:dyDescent="0.2">
      <c r="C35" s="35" t="s">
        <v>158</v>
      </c>
      <c r="D35" s="3"/>
      <c r="E35" s="139">
        <v>19.82</v>
      </c>
      <c r="F35" s="139">
        <v>0</v>
      </c>
      <c r="G35" s="140"/>
      <c r="H35" s="140"/>
      <c r="I35" s="140">
        <v>0</v>
      </c>
      <c r="J35" s="139">
        <v>0</v>
      </c>
      <c r="K35" s="139">
        <v>0</v>
      </c>
    </row>
    <row r="36" spans="1:28" x14ac:dyDescent="0.2">
      <c r="C36" s="20" t="s">
        <v>89</v>
      </c>
      <c r="D36" s="37">
        <v>95</v>
      </c>
      <c r="E36" s="144">
        <v>18.829000000000001</v>
      </c>
      <c r="F36" s="37"/>
      <c r="G36" s="143">
        <v>19</v>
      </c>
      <c r="H36" s="37" t="s">
        <v>234</v>
      </c>
      <c r="I36" s="37"/>
      <c r="J36" s="37"/>
      <c r="K36" s="37"/>
    </row>
    <row r="37" spans="1:28" x14ac:dyDescent="0.2">
      <c r="C37" s="20" t="s">
        <v>92</v>
      </c>
      <c r="D37" s="37">
        <v>65</v>
      </c>
      <c r="E37" s="144">
        <v>12.882999999999999</v>
      </c>
      <c r="F37" s="37"/>
      <c r="G37" s="143">
        <v>13</v>
      </c>
      <c r="H37" s="37" t="s">
        <v>202</v>
      </c>
      <c r="I37" s="37"/>
      <c r="J37" s="37"/>
      <c r="K37" s="37"/>
    </row>
    <row r="38" spans="1:28" x14ac:dyDescent="0.2">
      <c r="C38" s="20" t="s">
        <v>95</v>
      </c>
      <c r="D38" s="37"/>
      <c r="E38" s="144">
        <v>72.182000000000002</v>
      </c>
      <c r="F38" s="37"/>
      <c r="G38" s="143">
        <v>73</v>
      </c>
      <c r="H38" s="37"/>
      <c r="I38" s="37"/>
      <c r="J38" s="37"/>
      <c r="K38" s="37"/>
    </row>
    <row r="39" spans="1:28" ht="99.75" x14ac:dyDescent="0.2">
      <c r="A39" s="149" t="s">
        <v>105</v>
      </c>
      <c r="B39" s="149" t="s">
        <v>1854</v>
      </c>
      <c r="C39" s="145" t="s">
        <v>490</v>
      </c>
      <c r="D39" s="3">
        <v>1</v>
      </c>
      <c r="E39" s="141">
        <v>230.51</v>
      </c>
      <c r="F39" s="141">
        <v>0</v>
      </c>
      <c r="G39" s="140">
        <v>231</v>
      </c>
      <c r="H39" s="140">
        <v>0</v>
      </c>
      <c r="I39" s="142">
        <v>0</v>
      </c>
      <c r="J39" s="141">
        <v>0</v>
      </c>
      <c r="K39" s="141">
        <v>0</v>
      </c>
      <c r="T39">
        <v>231</v>
      </c>
      <c r="U39">
        <v>231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</row>
    <row r="40" spans="1:28" ht="14.25" x14ac:dyDescent="0.2">
      <c r="C40" s="35" t="s">
        <v>158</v>
      </c>
      <c r="D40" s="3"/>
      <c r="E40" s="139">
        <v>0</v>
      </c>
      <c r="F40" s="139">
        <v>0</v>
      </c>
      <c r="G40" s="140"/>
      <c r="H40" s="140"/>
      <c r="I40" s="140">
        <v>0</v>
      </c>
      <c r="J40" s="139">
        <v>0</v>
      </c>
      <c r="K40" s="139">
        <v>0</v>
      </c>
    </row>
    <row r="41" spans="1:28" ht="99.75" x14ac:dyDescent="0.2">
      <c r="A41" s="149" t="s">
        <v>106</v>
      </c>
      <c r="B41" s="149" t="s">
        <v>1855</v>
      </c>
      <c r="C41" s="145" t="s">
        <v>491</v>
      </c>
      <c r="D41" s="3">
        <v>2</v>
      </c>
      <c r="E41" s="141">
        <v>17.399999999999999</v>
      </c>
      <c r="F41" s="141">
        <v>0</v>
      </c>
      <c r="G41" s="140">
        <v>35</v>
      </c>
      <c r="H41" s="140">
        <v>34</v>
      </c>
      <c r="I41" s="142">
        <v>0</v>
      </c>
      <c r="J41" s="141">
        <v>2</v>
      </c>
      <c r="K41" s="141">
        <v>4</v>
      </c>
      <c r="T41">
        <v>82</v>
      </c>
      <c r="U41">
        <v>1</v>
      </c>
      <c r="V41">
        <v>34</v>
      </c>
      <c r="W41">
        <v>0</v>
      </c>
      <c r="X41">
        <v>0</v>
      </c>
      <c r="Y41">
        <v>4</v>
      </c>
      <c r="Z41">
        <v>0</v>
      </c>
      <c r="AA41">
        <v>27</v>
      </c>
      <c r="AB41">
        <v>20</v>
      </c>
    </row>
    <row r="42" spans="1:28" ht="14.25" x14ac:dyDescent="0.2">
      <c r="C42" s="35" t="s">
        <v>158</v>
      </c>
      <c r="D42" s="3"/>
      <c r="E42" s="139">
        <v>17.059999999999999</v>
      </c>
      <c r="F42" s="139">
        <v>0</v>
      </c>
      <c r="G42" s="140"/>
      <c r="H42" s="140"/>
      <c r="I42" s="140">
        <v>0</v>
      </c>
      <c r="J42" s="139">
        <v>0</v>
      </c>
      <c r="K42" s="139">
        <v>0</v>
      </c>
    </row>
    <row r="43" spans="1:28" x14ac:dyDescent="0.2">
      <c r="C43" s="20" t="s">
        <v>89</v>
      </c>
      <c r="D43" s="37">
        <v>80</v>
      </c>
      <c r="E43" s="144">
        <v>13.648</v>
      </c>
      <c r="F43" s="37"/>
      <c r="G43" s="143">
        <v>27</v>
      </c>
      <c r="H43" s="37" t="s">
        <v>222</v>
      </c>
      <c r="I43" s="37"/>
      <c r="J43" s="37"/>
      <c r="K43" s="37"/>
    </row>
    <row r="44" spans="1:28" x14ac:dyDescent="0.2">
      <c r="C44" s="20" t="s">
        <v>92</v>
      </c>
      <c r="D44" s="37">
        <v>60</v>
      </c>
      <c r="E44" s="144">
        <v>10.235999999999999</v>
      </c>
      <c r="F44" s="37"/>
      <c r="G44" s="143">
        <v>20</v>
      </c>
      <c r="H44" s="37" t="s">
        <v>198</v>
      </c>
      <c r="I44" s="37"/>
      <c r="J44" s="37"/>
      <c r="K44" s="37"/>
    </row>
    <row r="45" spans="1:28" x14ac:dyDescent="0.2">
      <c r="C45" s="20" t="s">
        <v>95</v>
      </c>
      <c r="D45" s="37"/>
      <c r="E45" s="144">
        <v>41.283999999999999</v>
      </c>
      <c r="F45" s="37"/>
      <c r="G45" s="143">
        <v>82</v>
      </c>
      <c r="H45" s="37"/>
      <c r="I45" s="37"/>
      <c r="J45" s="37"/>
      <c r="K45" s="37"/>
    </row>
    <row r="46" spans="1:28" ht="99.75" x14ac:dyDescent="0.2">
      <c r="A46" s="149" t="s">
        <v>112</v>
      </c>
      <c r="B46" s="149" t="s">
        <v>1856</v>
      </c>
      <c r="C46" s="145" t="s">
        <v>1857</v>
      </c>
      <c r="D46" s="3">
        <v>2</v>
      </c>
      <c r="E46" s="141">
        <v>125.41</v>
      </c>
      <c r="F46" s="141">
        <v>0</v>
      </c>
      <c r="G46" s="140">
        <v>251</v>
      </c>
      <c r="H46" s="140">
        <v>0</v>
      </c>
      <c r="I46" s="142">
        <v>0</v>
      </c>
      <c r="J46" s="141">
        <v>0</v>
      </c>
      <c r="K46" s="141">
        <v>0</v>
      </c>
      <c r="T46">
        <v>251</v>
      </c>
      <c r="U46">
        <v>251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</row>
    <row r="47" spans="1:28" ht="14.25" x14ac:dyDescent="0.2">
      <c r="C47" s="35" t="s">
        <v>158</v>
      </c>
      <c r="D47" s="3"/>
      <c r="E47" s="139">
        <v>0</v>
      </c>
      <c r="F47" s="139">
        <v>0</v>
      </c>
      <c r="G47" s="140"/>
      <c r="H47" s="140"/>
      <c r="I47" s="140">
        <v>0</v>
      </c>
      <c r="J47" s="139">
        <v>0</v>
      </c>
      <c r="K47" s="139">
        <v>0</v>
      </c>
    </row>
    <row r="48" spans="1:28" ht="99.75" x14ac:dyDescent="0.2">
      <c r="A48" s="149" t="s">
        <v>114</v>
      </c>
      <c r="B48" s="149" t="s">
        <v>1835</v>
      </c>
      <c r="C48" s="145" t="s">
        <v>1836</v>
      </c>
      <c r="D48" s="3">
        <v>32</v>
      </c>
      <c r="E48" s="141">
        <v>9.36</v>
      </c>
      <c r="F48" s="141">
        <v>0</v>
      </c>
      <c r="G48" s="140">
        <v>300</v>
      </c>
      <c r="H48" s="140">
        <v>259</v>
      </c>
      <c r="I48" s="142">
        <v>0</v>
      </c>
      <c r="J48" s="141">
        <v>0.84</v>
      </c>
      <c r="K48" s="141">
        <v>26.88</v>
      </c>
      <c r="T48">
        <v>662</v>
      </c>
      <c r="U48">
        <v>41</v>
      </c>
      <c r="V48">
        <v>259</v>
      </c>
      <c r="W48">
        <v>0</v>
      </c>
      <c r="X48">
        <v>0</v>
      </c>
      <c r="Y48">
        <v>26.88</v>
      </c>
      <c r="Z48">
        <v>0</v>
      </c>
      <c r="AA48">
        <v>207</v>
      </c>
      <c r="AB48">
        <v>155</v>
      </c>
    </row>
    <row r="49" spans="1:28" ht="14.25" x14ac:dyDescent="0.2">
      <c r="C49" s="35" t="s">
        <v>158</v>
      </c>
      <c r="D49" s="3"/>
      <c r="E49" s="139">
        <v>8.08</v>
      </c>
      <c r="F49" s="139">
        <v>0</v>
      </c>
      <c r="G49" s="140"/>
      <c r="H49" s="140"/>
      <c r="I49" s="140">
        <v>0</v>
      </c>
      <c r="J49" s="139">
        <v>0</v>
      </c>
      <c r="K49" s="139">
        <v>0</v>
      </c>
    </row>
    <row r="50" spans="1:28" x14ac:dyDescent="0.2">
      <c r="C50" s="20" t="s">
        <v>89</v>
      </c>
      <c r="D50" s="37">
        <v>80</v>
      </c>
      <c r="E50" s="144">
        <v>6.4639999999999995</v>
      </c>
      <c r="F50" s="37"/>
      <c r="G50" s="143">
        <v>207</v>
      </c>
      <c r="H50" s="37" t="s">
        <v>222</v>
      </c>
      <c r="I50" s="37"/>
      <c r="J50" s="37"/>
      <c r="K50" s="37"/>
    </row>
    <row r="51" spans="1:28" x14ac:dyDescent="0.2">
      <c r="C51" s="20" t="s">
        <v>92</v>
      </c>
      <c r="D51" s="37">
        <v>60</v>
      </c>
      <c r="E51" s="144">
        <v>4.8479999999999999</v>
      </c>
      <c r="F51" s="37"/>
      <c r="G51" s="143">
        <v>155</v>
      </c>
      <c r="H51" s="37" t="s">
        <v>198</v>
      </c>
      <c r="I51" s="37"/>
      <c r="J51" s="37"/>
      <c r="K51" s="37"/>
    </row>
    <row r="52" spans="1:28" x14ac:dyDescent="0.2">
      <c r="C52" s="20" t="s">
        <v>95</v>
      </c>
      <c r="D52" s="37"/>
      <c r="E52" s="144">
        <v>20.671999999999997</v>
      </c>
      <c r="F52" s="37"/>
      <c r="G52" s="143">
        <v>662</v>
      </c>
      <c r="H52" s="37"/>
      <c r="I52" s="37"/>
      <c r="J52" s="37"/>
      <c r="K52" s="37"/>
    </row>
    <row r="53" spans="1:28" ht="99.75" x14ac:dyDescent="0.2">
      <c r="A53" s="149" t="s">
        <v>115</v>
      </c>
      <c r="B53" s="149" t="s">
        <v>1837</v>
      </c>
      <c r="C53" s="145" t="s">
        <v>492</v>
      </c>
      <c r="D53" s="3">
        <v>3.2</v>
      </c>
      <c r="E53" s="141">
        <v>339.9</v>
      </c>
      <c r="F53" s="141">
        <v>0</v>
      </c>
      <c r="G53" s="140">
        <v>1088</v>
      </c>
      <c r="H53" s="140">
        <v>0</v>
      </c>
      <c r="I53" s="142">
        <v>0</v>
      </c>
      <c r="J53" s="141">
        <v>0</v>
      </c>
      <c r="K53" s="141">
        <v>0</v>
      </c>
      <c r="T53">
        <v>1088</v>
      </c>
      <c r="U53">
        <v>1088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</row>
    <row r="54" spans="1:28" ht="14.25" x14ac:dyDescent="0.2">
      <c r="C54" s="35" t="s">
        <v>173</v>
      </c>
      <c r="D54" s="3"/>
      <c r="E54" s="139">
        <v>0</v>
      </c>
      <c r="F54" s="139">
        <v>0</v>
      </c>
      <c r="G54" s="140"/>
      <c r="H54" s="140"/>
      <c r="I54" s="140">
        <v>0</v>
      </c>
      <c r="J54" s="139">
        <v>0</v>
      </c>
      <c r="K54" s="139">
        <v>0</v>
      </c>
    </row>
    <row r="55" spans="1:28" x14ac:dyDescent="0.2">
      <c r="C55" s="36" t="s">
        <v>493</v>
      </c>
    </row>
    <row r="56" spans="1:28" ht="99.75" x14ac:dyDescent="0.2">
      <c r="A56" s="149" t="s">
        <v>116</v>
      </c>
      <c r="B56" s="149" t="s">
        <v>1838</v>
      </c>
      <c r="C56" s="145" t="s">
        <v>1839</v>
      </c>
      <c r="D56" s="3">
        <v>6</v>
      </c>
      <c r="E56" s="141">
        <v>16.079999999999998</v>
      </c>
      <c r="F56" s="141">
        <v>5.43</v>
      </c>
      <c r="G56" s="140">
        <v>96</v>
      </c>
      <c r="H56" s="140">
        <v>59</v>
      </c>
      <c r="I56" s="142">
        <v>33</v>
      </c>
      <c r="J56" s="141">
        <v>1.03</v>
      </c>
      <c r="K56" s="141">
        <v>6.18</v>
      </c>
      <c r="T56">
        <v>199</v>
      </c>
      <c r="U56">
        <v>4</v>
      </c>
      <c r="V56">
        <v>59</v>
      </c>
      <c r="W56">
        <v>33</v>
      </c>
      <c r="X56">
        <v>5</v>
      </c>
      <c r="Y56">
        <v>6.18</v>
      </c>
      <c r="Z56">
        <v>0.36</v>
      </c>
      <c r="AA56">
        <v>61</v>
      </c>
      <c r="AB56">
        <v>42</v>
      </c>
    </row>
    <row r="57" spans="1:28" ht="14.25" x14ac:dyDescent="0.2">
      <c r="C57" s="35" t="s">
        <v>158</v>
      </c>
      <c r="D57" s="3"/>
      <c r="E57" s="139">
        <v>9.91</v>
      </c>
      <c r="F57" s="139">
        <v>0.76</v>
      </c>
      <c r="G57" s="140"/>
      <c r="H57" s="140"/>
      <c r="I57" s="140">
        <v>5</v>
      </c>
      <c r="J57" s="139">
        <v>0.06</v>
      </c>
      <c r="K57" s="139">
        <v>0.36</v>
      </c>
    </row>
    <row r="58" spans="1:28" x14ac:dyDescent="0.2">
      <c r="C58" s="20" t="s">
        <v>89</v>
      </c>
      <c r="D58" s="37">
        <v>95</v>
      </c>
      <c r="E58" s="144">
        <v>10.1365</v>
      </c>
      <c r="F58" s="37"/>
      <c r="G58" s="143">
        <v>61</v>
      </c>
      <c r="H58" s="37" t="s">
        <v>234</v>
      </c>
      <c r="I58" s="37"/>
      <c r="J58" s="37"/>
      <c r="K58" s="37"/>
    </row>
    <row r="59" spans="1:28" x14ac:dyDescent="0.2">
      <c r="C59" s="20" t="s">
        <v>92</v>
      </c>
      <c r="D59" s="37">
        <v>65</v>
      </c>
      <c r="E59" s="144">
        <v>6.9354999999999993</v>
      </c>
      <c r="F59" s="37"/>
      <c r="G59" s="143">
        <v>42</v>
      </c>
      <c r="H59" s="37" t="s">
        <v>202</v>
      </c>
      <c r="I59" s="37"/>
      <c r="J59" s="37"/>
      <c r="K59" s="37"/>
    </row>
    <row r="60" spans="1:28" x14ac:dyDescent="0.2">
      <c r="C60" s="20" t="s">
        <v>95</v>
      </c>
      <c r="D60" s="37"/>
      <c r="E60" s="144">
        <v>33.152000000000001</v>
      </c>
      <c r="F60" s="37"/>
      <c r="G60" s="143">
        <v>199</v>
      </c>
      <c r="H60" s="37"/>
      <c r="I60" s="37"/>
      <c r="J60" s="37"/>
      <c r="K60" s="37"/>
    </row>
    <row r="61" spans="1:28" ht="99.75" x14ac:dyDescent="0.2">
      <c r="A61" s="149" t="s">
        <v>118</v>
      </c>
      <c r="B61" s="149" t="s">
        <v>1840</v>
      </c>
      <c r="C61" s="145" t="s">
        <v>1858</v>
      </c>
      <c r="D61" s="3">
        <v>0.6</v>
      </c>
      <c r="E61" s="141">
        <v>356.62</v>
      </c>
      <c r="F61" s="141">
        <v>0</v>
      </c>
      <c r="G61" s="140">
        <v>214</v>
      </c>
      <c r="H61" s="140">
        <v>0</v>
      </c>
      <c r="I61" s="142">
        <v>0</v>
      </c>
      <c r="J61" s="141">
        <v>0</v>
      </c>
      <c r="K61" s="141">
        <v>0</v>
      </c>
      <c r="T61">
        <v>214</v>
      </c>
      <c r="U61">
        <v>214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</row>
    <row r="62" spans="1:28" ht="14.25" x14ac:dyDescent="0.2">
      <c r="C62" s="35" t="s">
        <v>173</v>
      </c>
      <c r="D62" s="3"/>
      <c r="E62" s="139">
        <v>0</v>
      </c>
      <c r="F62" s="139">
        <v>0</v>
      </c>
      <c r="G62" s="140"/>
      <c r="H62" s="140"/>
      <c r="I62" s="140">
        <v>0</v>
      </c>
      <c r="J62" s="139">
        <v>0</v>
      </c>
      <c r="K62" s="139">
        <v>0</v>
      </c>
    </row>
    <row r="63" spans="1:28" x14ac:dyDescent="0.2">
      <c r="C63" s="36" t="s">
        <v>495</v>
      </c>
    </row>
    <row r="64" spans="1:28" ht="99.75" x14ac:dyDescent="0.2">
      <c r="A64" s="149" t="s">
        <v>119</v>
      </c>
      <c r="B64" s="149" t="s">
        <v>1841</v>
      </c>
      <c r="C64" s="145" t="s">
        <v>1842</v>
      </c>
      <c r="D64" s="3">
        <v>8</v>
      </c>
      <c r="E64" s="141">
        <v>19.239999999999998</v>
      </c>
      <c r="F64" s="141">
        <v>0</v>
      </c>
      <c r="G64" s="140">
        <v>154</v>
      </c>
      <c r="H64" s="140">
        <v>129</v>
      </c>
      <c r="I64" s="142">
        <v>0</v>
      </c>
      <c r="J64" s="141">
        <v>1.68</v>
      </c>
      <c r="K64" s="141">
        <v>13.44</v>
      </c>
      <c r="T64">
        <v>334</v>
      </c>
      <c r="U64">
        <v>25</v>
      </c>
      <c r="V64">
        <v>129</v>
      </c>
      <c r="W64">
        <v>0</v>
      </c>
      <c r="X64">
        <v>0</v>
      </c>
      <c r="Y64">
        <v>13.44</v>
      </c>
      <c r="Z64">
        <v>0</v>
      </c>
      <c r="AA64">
        <v>103</v>
      </c>
      <c r="AB64">
        <v>77</v>
      </c>
    </row>
    <row r="65" spans="1:28" ht="14.25" x14ac:dyDescent="0.2">
      <c r="C65" s="35" t="s">
        <v>158</v>
      </c>
      <c r="D65" s="3"/>
      <c r="E65" s="139">
        <v>16.16</v>
      </c>
      <c r="F65" s="139">
        <v>0</v>
      </c>
      <c r="G65" s="140"/>
      <c r="H65" s="140"/>
      <c r="I65" s="140">
        <v>0</v>
      </c>
      <c r="J65" s="139">
        <v>0</v>
      </c>
      <c r="K65" s="139">
        <v>0</v>
      </c>
    </row>
    <row r="66" spans="1:28" x14ac:dyDescent="0.2">
      <c r="C66" s="20" t="s">
        <v>89</v>
      </c>
      <c r="D66" s="37">
        <v>80</v>
      </c>
      <c r="E66" s="144">
        <v>12.927999999999999</v>
      </c>
      <c r="F66" s="37"/>
      <c r="G66" s="143">
        <v>103</v>
      </c>
      <c r="H66" s="37" t="s">
        <v>222</v>
      </c>
      <c r="I66" s="37"/>
      <c r="J66" s="37"/>
      <c r="K66" s="37"/>
    </row>
    <row r="67" spans="1:28" x14ac:dyDescent="0.2">
      <c r="C67" s="20" t="s">
        <v>92</v>
      </c>
      <c r="D67" s="37">
        <v>60</v>
      </c>
      <c r="E67" s="144">
        <v>9.6959999999999997</v>
      </c>
      <c r="F67" s="37"/>
      <c r="G67" s="143">
        <v>77</v>
      </c>
      <c r="H67" s="37" t="s">
        <v>198</v>
      </c>
      <c r="I67" s="37"/>
      <c r="J67" s="37"/>
      <c r="K67" s="37"/>
    </row>
    <row r="68" spans="1:28" x14ac:dyDescent="0.2">
      <c r="C68" s="20" t="s">
        <v>95</v>
      </c>
      <c r="D68" s="37"/>
      <c r="E68" s="144">
        <v>41.863999999999997</v>
      </c>
      <c r="F68" s="37"/>
      <c r="G68" s="143">
        <v>334</v>
      </c>
      <c r="H68" s="37"/>
      <c r="I68" s="37"/>
      <c r="J68" s="37"/>
      <c r="K68" s="37"/>
    </row>
    <row r="69" spans="1:28" ht="99.75" x14ac:dyDescent="0.2">
      <c r="A69" s="149" t="s">
        <v>120</v>
      </c>
      <c r="B69" s="149" t="s">
        <v>1859</v>
      </c>
      <c r="C69" s="145" t="s">
        <v>1860</v>
      </c>
      <c r="D69" s="3">
        <v>0.8</v>
      </c>
      <c r="E69" s="141">
        <v>2246.1999999999998</v>
      </c>
      <c r="F69" s="141">
        <v>0</v>
      </c>
      <c r="G69" s="140">
        <v>1797</v>
      </c>
      <c r="H69" s="140">
        <v>0</v>
      </c>
      <c r="I69" s="142">
        <v>0</v>
      </c>
      <c r="J69" s="141">
        <v>0</v>
      </c>
      <c r="K69" s="141">
        <v>0</v>
      </c>
      <c r="T69">
        <v>1797</v>
      </c>
      <c r="U69">
        <v>1797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</row>
    <row r="70" spans="1:28" ht="14.25" x14ac:dyDescent="0.2">
      <c r="C70" s="35" t="s">
        <v>173</v>
      </c>
      <c r="D70" s="3"/>
      <c r="E70" s="139">
        <v>0</v>
      </c>
      <c r="F70" s="139">
        <v>0</v>
      </c>
      <c r="G70" s="140"/>
      <c r="H70" s="140"/>
      <c r="I70" s="140">
        <v>0</v>
      </c>
      <c r="J70" s="139">
        <v>0</v>
      </c>
      <c r="K70" s="139">
        <v>0</v>
      </c>
    </row>
    <row r="71" spans="1:28" x14ac:dyDescent="0.2">
      <c r="C71" s="36" t="s">
        <v>435</v>
      </c>
    </row>
    <row r="72" spans="1:28" ht="99.75" x14ac:dyDescent="0.2">
      <c r="A72" s="149" t="s">
        <v>123</v>
      </c>
      <c r="B72" s="149" t="s">
        <v>1861</v>
      </c>
      <c r="C72" s="145" t="s">
        <v>1862</v>
      </c>
      <c r="D72" s="3">
        <v>8</v>
      </c>
      <c r="E72" s="141">
        <v>30.77</v>
      </c>
      <c r="F72" s="141">
        <v>0</v>
      </c>
      <c r="G72" s="140">
        <v>246</v>
      </c>
      <c r="H72" s="140">
        <v>145</v>
      </c>
      <c r="I72" s="142">
        <v>0</v>
      </c>
      <c r="J72" s="141">
        <v>2</v>
      </c>
      <c r="K72" s="141">
        <v>16</v>
      </c>
      <c r="T72">
        <v>473</v>
      </c>
      <c r="U72">
        <v>101</v>
      </c>
      <c r="V72">
        <v>145</v>
      </c>
      <c r="W72">
        <v>0</v>
      </c>
      <c r="X72">
        <v>0</v>
      </c>
      <c r="Y72">
        <v>16</v>
      </c>
      <c r="Z72">
        <v>0</v>
      </c>
      <c r="AA72">
        <v>133</v>
      </c>
      <c r="AB72">
        <v>94</v>
      </c>
    </row>
    <row r="73" spans="1:28" ht="14.25" x14ac:dyDescent="0.2">
      <c r="C73" s="35" t="s">
        <v>158</v>
      </c>
      <c r="D73" s="3"/>
      <c r="E73" s="139">
        <v>18.14</v>
      </c>
      <c r="F73" s="139">
        <v>0</v>
      </c>
      <c r="G73" s="140"/>
      <c r="H73" s="140"/>
      <c r="I73" s="140">
        <v>0</v>
      </c>
      <c r="J73" s="139">
        <v>0</v>
      </c>
      <c r="K73" s="139">
        <v>0</v>
      </c>
    </row>
    <row r="74" spans="1:28" x14ac:dyDescent="0.2">
      <c r="C74" s="20" t="s">
        <v>89</v>
      </c>
      <c r="D74" s="37">
        <v>92</v>
      </c>
      <c r="E74" s="144">
        <v>16.688800000000001</v>
      </c>
      <c r="F74" s="37"/>
      <c r="G74" s="143">
        <v>133</v>
      </c>
      <c r="H74" s="37" t="s">
        <v>231</v>
      </c>
      <c r="I74" s="37"/>
      <c r="J74" s="37"/>
      <c r="K74" s="37"/>
    </row>
    <row r="75" spans="1:28" x14ac:dyDescent="0.2">
      <c r="C75" s="20" t="s">
        <v>92</v>
      </c>
      <c r="D75" s="37">
        <v>65</v>
      </c>
      <c r="E75" s="144">
        <v>11.791000000000002</v>
      </c>
      <c r="F75" s="37"/>
      <c r="G75" s="143">
        <v>94</v>
      </c>
      <c r="H75" s="37" t="s">
        <v>202</v>
      </c>
      <c r="I75" s="37"/>
      <c r="J75" s="37"/>
      <c r="K75" s="37"/>
    </row>
    <row r="76" spans="1:28" x14ac:dyDescent="0.2">
      <c r="C76" s="20" t="s">
        <v>95</v>
      </c>
      <c r="D76" s="37"/>
      <c r="E76" s="144">
        <v>59.249800000000008</v>
      </c>
      <c r="F76" s="37"/>
      <c r="G76" s="143">
        <v>473</v>
      </c>
      <c r="H76" s="37"/>
      <c r="I76" s="37"/>
      <c r="J76" s="37"/>
      <c r="K76" s="37"/>
    </row>
    <row r="77" spans="1:28" ht="99.75" x14ac:dyDescent="0.2">
      <c r="A77" s="149" t="s">
        <v>124</v>
      </c>
      <c r="B77" s="149" t="s">
        <v>1863</v>
      </c>
      <c r="C77" s="145" t="s">
        <v>1864</v>
      </c>
      <c r="D77" s="3">
        <v>8</v>
      </c>
      <c r="E77" s="141">
        <v>187</v>
      </c>
      <c r="F77" s="141">
        <v>0</v>
      </c>
      <c r="G77" s="140">
        <v>1496</v>
      </c>
      <c r="H77" s="140">
        <v>0</v>
      </c>
      <c r="I77" s="142">
        <v>0</v>
      </c>
      <c r="J77" s="141">
        <v>0</v>
      </c>
      <c r="K77" s="141">
        <v>0</v>
      </c>
      <c r="T77">
        <v>1496</v>
      </c>
      <c r="U77">
        <v>1496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</row>
    <row r="78" spans="1:28" ht="14.25" x14ac:dyDescent="0.2">
      <c r="C78" s="35" t="s">
        <v>158</v>
      </c>
      <c r="D78" s="3"/>
      <c r="E78" s="139">
        <v>0</v>
      </c>
      <c r="F78" s="139">
        <v>0</v>
      </c>
      <c r="G78" s="140"/>
      <c r="H78" s="140"/>
      <c r="I78" s="140">
        <v>0</v>
      </c>
      <c r="J78" s="139">
        <v>0</v>
      </c>
      <c r="K78" s="139">
        <v>0</v>
      </c>
    </row>
    <row r="79" spans="1:28" ht="99.75" x14ac:dyDescent="0.2">
      <c r="A79" s="149" t="s">
        <v>126</v>
      </c>
      <c r="B79" s="149" t="s">
        <v>1865</v>
      </c>
      <c r="C79" s="145" t="s">
        <v>1866</v>
      </c>
      <c r="D79" s="3">
        <v>2</v>
      </c>
      <c r="E79" s="141">
        <v>21.88</v>
      </c>
      <c r="F79" s="141">
        <v>0</v>
      </c>
      <c r="G79" s="140">
        <v>44</v>
      </c>
      <c r="H79" s="140">
        <v>35</v>
      </c>
      <c r="I79" s="142">
        <v>0</v>
      </c>
      <c r="J79" s="141">
        <v>1.8</v>
      </c>
      <c r="K79" s="141">
        <v>3.6</v>
      </c>
      <c r="T79">
        <v>93</v>
      </c>
      <c r="U79">
        <v>9</v>
      </c>
      <c r="V79">
        <v>35</v>
      </c>
      <c r="W79">
        <v>0</v>
      </c>
      <c r="X79">
        <v>0</v>
      </c>
      <c r="Y79">
        <v>3.6</v>
      </c>
      <c r="Z79">
        <v>0</v>
      </c>
      <c r="AA79">
        <v>28</v>
      </c>
      <c r="AB79">
        <v>21</v>
      </c>
    </row>
    <row r="80" spans="1:28" ht="14.25" x14ac:dyDescent="0.2">
      <c r="C80" s="35" t="s">
        <v>158</v>
      </c>
      <c r="D80" s="3"/>
      <c r="E80" s="139">
        <v>17.57</v>
      </c>
      <c r="F80" s="139">
        <v>0</v>
      </c>
      <c r="G80" s="140"/>
      <c r="H80" s="140"/>
      <c r="I80" s="140">
        <v>0</v>
      </c>
      <c r="J80" s="139">
        <v>0</v>
      </c>
      <c r="K80" s="139">
        <v>0</v>
      </c>
    </row>
    <row r="81" spans="1:28" x14ac:dyDescent="0.2">
      <c r="C81" s="20" t="s">
        <v>89</v>
      </c>
      <c r="D81" s="37">
        <v>80</v>
      </c>
      <c r="E81" s="144">
        <v>14.055999999999999</v>
      </c>
      <c r="F81" s="37"/>
      <c r="G81" s="143">
        <v>28</v>
      </c>
      <c r="H81" s="37" t="s">
        <v>222</v>
      </c>
      <c r="I81" s="37"/>
      <c r="J81" s="37"/>
      <c r="K81" s="37"/>
    </row>
    <row r="82" spans="1:28" x14ac:dyDescent="0.2">
      <c r="C82" s="20" t="s">
        <v>92</v>
      </c>
      <c r="D82" s="37">
        <v>60</v>
      </c>
      <c r="E82" s="144">
        <v>10.542</v>
      </c>
      <c r="F82" s="37"/>
      <c r="G82" s="143">
        <v>21</v>
      </c>
      <c r="H82" s="37" t="s">
        <v>198</v>
      </c>
      <c r="I82" s="37"/>
      <c r="J82" s="37"/>
      <c r="K82" s="37"/>
    </row>
    <row r="83" spans="1:28" x14ac:dyDescent="0.2">
      <c r="C83" s="20" t="s">
        <v>95</v>
      </c>
      <c r="D83" s="37"/>
      <c r="E83" s="144">
        <v>46.477999999999994</v>
      </c>
      <c r="F83" s="37"/>
      <c r="G83" s="143">
        <v>93</v>
      </c>
      <c r="H83" s="37"/>
      <c r="I83" s="37"/>
      <c r="J83" s="37"/>
      <c r="K83" s="37"/>
    </row>
    <row r="84" spans="1:28" ht="99.75" x14ac:dyDescent="0.2">
      <c r="A84" s="149" t="s">
        <v>135</v>
      </c>
      <c r="B84" s="149" t="s">
        <v>1867</v>
      </c>
      <c r="C84" s="145" t="s">
        <v>496</v>
      </c>
      <c r="D84" s="3">
        <v>2</v>
      </c>
      <c r="E84" s="141">
        <v>57.92</v>
      </c>
      <c r="F84" s="141">
        <v>0</v>
      </c>
      <c r="G84" s="140">
        <v>116</v>
      </c>
      <c r="H84" s="140">
        <v>0</v>
      </c>
      <c r="I84" s="142">
        <v>0</v>
      </c>
      <c r="J84" s="141">
        <v>0</v>
      </c>
      <c r="K84" s="141">
        <v>0</v>
      </c>
      <c r="T84">
        <v>116</v>
      </c>
      <c r="U84">
        <v>116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</row>
    <row r="85" spans="1:28" ht="14.25" x14ac:dyDescent="0.2">
      <c r="C85" s="35" t="s">
        <v>158</v>
      </c>
      <c r="D85" s="3"/>
      <c r="E85" s="139">
        <v>0</v>
      </c>
      <c r="F85" s="139">
        <v>0</v>
      </c>
      <c r="G85" s="140"/>
      <c r="H85" s="140"/>
      <c r="I85" s="140">
        <v>0</v>
      </c>
      <c r="J85" s="139">
        <v>0</v>
      </c>
      <c r="K85" s="139">
        <v>0</v>
      </c>
    </row>
    <row r="86" spans="1:28" ht="99.75" x14ac:dyDescent="0.2">
      <c r="A86" s="149" t="s">
        <v>138</v>
      </c>
      <c r="B86" s="149" t="s">
        <v>1868</v>
      </c>
      <c r="C86" s="145" t="s">
        <v>497</v>
      </c>
      <c r="D86" s="3">
        <v>19</v>
      </c>
      <c r="E86" s="141">
        <v>11.3</v>
      </c>
      <c r="F86" s="141">
        <v>0</v>
      </c>
      <c r="G86" s="140">
        <v>215</v>
      </c>
      <c r="H86" s="140">
        <v>0</v>
      </c>
      <c r="I86" s="142">
        <v>0</v>
      </c>
      <c r="J86" s="141">
        <v>0</v>
      </c>
      <c r="K86" s="141">
        <v>0</v>
      </c>
      <c r="T86">
        <v>215</v>
      </c>
      <c r="U86">
        <v>215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1:28" ht="14.25" x14ac:dyDescent="0.2">
      <c r="C87" s="35" t="s">
        <v>158</v>
      </c>
      <c r="D87" s="3"/>
      <c r="E87" s="139">
        <v>0</v>
      </c>
      <c r="F87" s="139">
        <v>0</v>
      </c>
      <c r="G87" s="140"/>
      <c r="H87" s="140"/>
      <c r="I87" s="140">
        <v>0</v>
      </c>
      <c r="J87" s="139">
        <v>0</v>
      </c>
      <c r="K87" s="139">
        <v>0</v>
      </c>
    </row>
    <row r="89" spans="1:28" ht="15" x14ac:dyDescent="0.25">
      <c r="A89" s="4"/>
      <c r="B89" s="4"/>
      <c r="C89" s="187" t="s">
        <v>380</v>
      </c>
      <c r="D89" s="187"/>
      <c r="E89" s="187"/>
      <c r="F89" s="187"/>
      <c r="G89" s="136">
        <f>IF(SUM(T25:T88)=0, "-", SUM(T25:T88))</f>
        <v>7560</v>
      </c>
      <c r="H89" s="136">
        <f>IF(SUM(V25:V88)=0, "-", SUM(V25:V88))</f>
        <v>685</v>
      </c>
      <c r="I89" s="138">
        <f>IF(SUM(W25:W88)=0, "-", SUM(W25:W88))</f>
        <v>33</v>
      </c>
      <c r="J89" s="136"/>
      <c r="K89" s="137">
        <f>IF(SUM(Y25:Y88)=0, "-", SUM(Y25:Y88))</f>
        <v>72.549999999999983</v>
      </c>
    </row>
    <row r="90" spans="1:28" ht="15" x14ac:dyDescent="0.25">
      <c r="A90" s="4"/>
      <c r="B90" s="4"/>
      <c r="C90" s="4"/>
      <c r="D90" s="4"/>
      <c r="E90" s="4"/>
      <c r="F90" s="4"/>
      <c r="G90" s="136"/>
      <c r="H90" s="136"/>
      <c r="I90" s="136">
        <f>IF(SUM(X25:X88)=0, "-", SUM(X25:X88))</f>
        <v>5</v>
      </c>
      <c r="J90" s="136"/>
      <c r="K90" s="135">
        <f>IF(SUM(Z25:Z88)=0, "-", SUM(Z25:Z88))</f>
        <v>0.36</v>
      </c>
    </row>
    <row r="93" spans="1:28" ht="14.25" x14ac:dyDescent="0.2">
      <c r="C93" s="183" t="s">
        <v>127</v>
      </c>
      <c r="D93" s="183"/>
      <c r="E93" s="183"/>
      <c r="F93" s="183"/>
      <c r="G93" s="183"/>
      <c r="H93" s="172">
        <v>685</v>
      </c>
      <c r="I93" s="172"/>
    </row>
    <row r="94" spans="1:28" ht="14.25" x14ac:dyDescent="0.2">
      <c r="C94" s="183" t="s">
        <v>128</v>
      </c>
      <c r="D94" s="183"/>
      <c r="E94" s="183"/>
      <c r="F94" s="183"/>
      <c r="G94" s="183"/>
      <c r="H94" s="172">
        <v>33</v>
      </c>
      <c r="I94" s="172"/>
    </row>
    <row r="95" spans="1:28" ht="14.25" x14ac:dyDescent="0.2">
      <c r="C95" s="183" t="s">
        <v>129</v>
      </c>
      <c r="D95" s="183"/>
      <c r="E95" s="183"/>
      <c r="F95" s="183"/>
      <c r="G95" s="183"/>
      <c r="H95" s="172">
        <v>5837</v>
      </c>
      <c r="I95" s="172"/>
    </row>
    <row r="96" spans="1:28" ht="14.25" x14ac:dyDescent="0.2">
      <c r="C96" s="183" t="s">
        <v>130</v>
      </c>
      <c r="D96" s="183"/>
      <c r="E96" s="183"/>
      <c r="F96" s="183"/>
      <c r="G96" s="183"/>
      <c r="H96" s="172">
        <v>581</v>
      </c>
      <c r="I96" s="172"/>
    </row>
    <row r="97" spans="1:28" ht="14.25" x14ac:dyDescent="0.2">
      <c r="C97" s="183" t="s">
        <v>131</v>
      </c>
      <c r="D97" s="183"/>
      <c r="E97" s="183"/>
      <c r="F97" s="183"/>
      <c r="G97" s="183"/>
      <c r="H97" s="172">
        <v>424</v>
      </c>
      <c r="I97" s="172"/>
    </row>
    <row r="98" spans="1:28" ht="14.25" x14ac:dyDescent="0.2">
      <c r="C98" s="183" t="s">
        <v>134</v>
      </c>
      <c r="D98" s="183"/>
      <c r="E98" s="183"/>
      <c r="F98" s="183"/>
      <c r="G98" s="183"/>
      <c r="H98" s="172">
        <v>7560</v>
      </c>
      <c r="I98" s="172"/>
    </row>
    <row r="100" spans="1:28" ht="16.5" x14ac:dyDescent="0.25">
      <c r="A100" s="186" t="s">
        <v>498</v>
      </c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</row>
    <row r="101" spans="1:28" ht="99.75" x14ac:dyDescent="0.2">
      <c r="A101" s="149" t="s">
        <v>139</v>
      </c>
      <c r="B101" s="149" t="s">
        <v>1822</v>
      </c>
      <c r="C101" s="145" t="s">
        <v>1823</v>
      </c>
      <c r="D101" s="3">
        <v>6.2</v>
      </c>
      <c r="E101" s="141">
        <v>206.76</v>
      </c>
      <c r="F101" s="141">
        <v>0.31</v>
      </c>
      <c r="G101" s="140">
        <v>1282</v>
      </c>
      <c r="H101" s="140">
        <v>961</v>
      </c>
      <c r="I101" s="142">
        <v>2</v>
      </c>
      <c r="J101" s="141">
        <v>16.29</v>
      </c>
      <c r="K101" s="141">
        <v>100.998</v>
      </c>
      <c r="T101">
        <v>2821</v>
      </c>
      <c r="U101">
        <v>319</v>
      </c>
      <c r="V101">
        <v>961</v>
      </c>
      <c r="W101">
        <v>2</v>
      </c>
      <c r="X101">
        <v>1</v>
      </c>
      <c r="Y101">
        <v>100.998</v>
      </c>
      <c r="Z101">
        <v>6.2000000000000006E-2</v>
      </c>
      <c r="AA101">
        <v>914</v>
      </c>
      <c r="AB101">
        <v>625</v>
      </c>
    </row>
    <row r="102" spans="1:28" ht="14.25" x14ac:dyDescent="0.2">
      <c r="C102" s="35" t="s">
        <v>169</v>
      </c>
      <c r="D102" s="3"/>
      <c r="E102" s="139">
        <v>154.91999999999999</v>
      </c>
      <c r="F102" s="139">
        <v>0.14000000000000001</v>
      </c>
      <c r="G102" s="140"/>
      <c r="H102" s="140"/>
      <c r="I102" s="140">
        <v>1</v>
      </c>
      <c r="J102" s="139">
        <v>0.01</v>
      </c>
      <c r="K102" s="139">
        <v>6.2000000000000006E-2</v>
      </c>
    </row>
    <row r="103" spans="1:28" x14ac:dyDescent="0.2">
      <c r="C103" s="36" t="s">
        <v>499</v>
      </c>
    </row>
    <row r="104" spans="1:28" x14ac:dyDescent="0.2">
      <c r="C104" s="20" t="s">
        <v>89</v>
      </c>
      <c r="D104" s="37">
        <v>95</v>
      </c>
      <c r="E104" s="144">
        <v>147.30699999999996</v>
      </c>
      <c r="F104" s="37"/>
      <c r="G104" s="143">
        <v>914</v>
      </c>
      <c r="H104" s="37" t="s">
        <v>234</v>
      </c>
      <c r="I104" s="37"/>
      <c r="J104" s="37"/>
      <c r="K104" s="37"/>
    </row>
    <row r="105" spans="1:28" x14ac:dyDescent="0.2">
      <c r="C105" s="20" t="s">
        <v>92</v>
      </c>
      <c r="D105" s="37">
        <v>65</v>
      </c>
      <c r="E105" s="144">
        <v>100.78899999999997</v>
      </c>
      <c r="F105" s="37"/>
      <c r="G105" s="143">
        <v>625</v>
      </c>
      <c r="H105" s="37" t="s">
        <v>202</v>
      </c>
      <c r="I105" s="37"/>
      <c r="J105" s="37"/>
      <c r="K105" s="37"/>
    </row>
    <row r="106" spans="1:28" x14ac:dyDescent="0.2">
      <c r="C106" s="20" t="s">
        <v>95</v>
      </c>
      <c r="D106" s="37"/>
      <c r="E106" s="144">
        <v>454.85599999999994</v>
      </c>
      <c r="F106" s="37"/>
      <c r="G106" s="143">
        <v>2821</v>
      </c>
      <c r="H106" s="37"/>
      <c r="I106" s="37"/>
      <c r="J106" s="37"/>
      <c r="K106" s="37"/>
    </row>
    <row r="107" spans="1:28" ht="99.75" x14ac:dyDescent="0.2">
      <c r="A107" s="149" t="s">
        <v>140</v>
      </c>
      <c r="B107" s="149" t="s">
        <v>1824</v>
      </c>
      <c r="C107" s="145" t="s">
        <v>500</v>
      </c>
      <c r="D107" s="3">
        <v>0.2</v>
      </c>
      <c r="E107" s="141">
        <v>121</v>
      </c>
      <c r="F107" s="141">
        <v>0</v>
      </c>
      <c r="G107" s="140">
        <v>24</v>
      </c>
      <c r="H107" s="140">
        <v>0</v>
      </c>
      <c r="I107" s="142">
        <v>0</v>
      </c>
      <c r="J107" s="141">
        <v>0</v>
      </c>
      <c r="K107" s="141">
        <v>0</v>
      </c>
      <c r="T107">
        <v>24</v>
      </c>
      <c r="U107">
        <v>24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</row>
    <row r="108" spans="1:28" ht="14.25" x14ac:dyDescent="0.2">
      <c r="C108" s="35" t="s">
        <v>108</v>
      </c>
      <c r="D108" s="3"/>
      <c r="E108" s="139">
        <v>0</v>
      </c>
      <c r="F108" s="139">
        <v>0</v>
      </c>
      <c r="G108" s="140"/>
      <c r="H108" s="140"/>
      <c r="I108" s="140">
        <v>0</v>
      </c>
      <c r="J108" s="139">
        <v>0</v>
      </c>
      <c r="K108" s="139">
        <v>0</v>
      </c>
    </row>
    <row r="109" spans="1:28" x14ac:dyDescent="0.2">
      <c r="C109" s="36" t="s">
        <v>501</v>
      </c>
    </row>
    <row r="110" spans="1:28" ht="99.75" x14ac:dyDescent="0.2">
      <c r="A110" s="149" t="s">
        <v>141</v>
      </c>
      <c r="B110" s="149" t="s">
        <v>1825</v>
      </c>
      <c r="C110" s="145" t="s">
        <v>502</v>
      </c>
      <c r="D110" s="3">
        <v>632.4</v>
      </c>
      <c r="E110" s="141">
        <v>1.18</v>
      </c>
      <c r="F110" s="141">
        <v>0</v>
      </c>
      <c r="G110" s="140">
        <v>746</v>
      </c>
      <c r="H110" s="140">
        <v>0</v>
      </c>
      <c r="I110" s="142">
        <v>0</v>
      </c>
      <c r="J110" s="141">
        <v>0</v>
      </c>
      <c r="K110" s="141">
        <v>0</v>
      </c>
      <c r="T110">
        <v>746</v>
      </c>
      <c r="U110">
        <v>746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</row>
    <row r="111" spans="1:28" ht="14.25" x14ac:dyDescent="0.2">
      <c r="C111" s="35" t="s">
        <v>171</v>
      </c>
      <c r="D111" s="3"/>
      <c r="E111" s="139">
        <v>0</v>
      </c>
      <c r="F111" s="139">
        <v>0</v>
      </c>
      <c r="G111" s="140"/>
      <c r="H111" s="140"/>
      <c r="I111" s="140">
        <v>0</v>
      </c>
      <c r="J111" s="139">
        <v>0</v>
      </c>
      <c r="K111" s="139">
        <v>0</v>
      </c>
    </row>
    <row r="112" spans="1:28" x14ac:dyDescent="0.2">
      <c r="C112" s="36" t="s">
        <v>1826</v>
      </c>
    </row>
    <row r="113" spans="1:28" ht="99.75" x14ac:dyDescent="0.2">
      <c r="A113" s="149" t="s">
        <v>142</v>
      </c>
      <c r="B113" s="149" t="s">
        <v>1827</v>
      </c>
      <c r="C113" s="145" t="s">
        <v>503</v>
      </c>
      <c r="D113" s="3">
        <v>0.6</v>
      </c>
      <c r="E113" s="141">
        <v>291</v>
      </c>
      <c r="F113" s="141">
        <v>0</v>
      </c>
      <c r="G113" s="140">
        <v>175</v>
      </c>
      <c r="H113" s="140">
        <v>0</v>
      </c>
      <c r="I113" s="142">
        <v>0</v>
      </c>
      <c r="J113" s="141">
        <v>0</v>
      </c>
      <c r="K113" s="141">
        <v>0</v>
      </c>
      <c r="T113">
        <v>175</v>
      </c>
      <c r="U113">
        <v>175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</row>
    <row r="114" spans="1:28" ht="14.25" x14ac:dyDescent="0.2">
      <c r="C114" s="35" t="s">
        <v>108</v>
      </c>
      <c r="D114" s="3"/>
      <c r="E114" s="139">
        <v>0</v>
      </c>
      <c r="F114" s="139">
        <v>0</v>
      </c>
      <c r="G114" s="140"/>
      <c r="H114" s="140"/>
      <c r="I114" s="140">
        <v>0</v>
      </c>
      <c r="J114" s="139">
        <v>0</v>
      </c>
      <c r="K114" s="139">
        <v>0</v>
      </c>
    </row>
    <row r="115" spans="1:28" x14ac:dyDescent="0.2">
      <c r="C115" s="36" t="s">
        <v>471</v>
      </c>
    </row>
    <row r="116" spans="1:28" ht="99.75" x14ac:dyDescent="0.2">
      <c r="A116" s="149" t="s">
        <v>143</v>
      </c>
      <c r="B116" s="149" t="s">
        <v>1828</v>
      </c>
      <c r="C116" s="145" t="s">
        <v>504</v>
      </c>
      <c r="D116" s="3">
        <v>2</v>
      </c>
      <c r="E116" s="141">
        <v>385</v>
      </c>
      <c r="F116" s="141">
        <v>0</v>
      </c>
      <c r="G116" s="140">
        <v>770</v>
      </c>
      <c r="H116" s="140">
        <v>0</v>
      </c>
      <c r="I116" s="142">
        <v>0</v>
      </c>
      <c r="J116" s="141">
        <v>0</v>
      </c>
      <c r="K116" s="141">
        <v>0</v>
      </c>
      <c r="T116">
        <v>770</v>
      </c>
      <c r="U116">
        <v>770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ht="14.25" x14ac:dyDescent="0.2">
      <c r="C117" s="35" t="s">
        <v>108</v>
      </c>
      <c r="D117" s="3"/>
      <c r="E117" s="139">
        <v>0</v>
      </c>
      <c r="F117" s="139">
        <v>0</v>
      </c>
      <c r="G117" s="140"/>
      <c r="H117" s="140"/>
      <c r="I117" s="140">
        <v>0</v>
      </c>
      <c r="J117" s="139">
        <v>0</v>
      </c>
      <c r="K117" s="139">
        <v>0</v>
      </c>
    </row>
    <row r="118" spans="1:28" x14ac:dyDescent="0.2">
      <c r="C118" s="36" t="s">
        <v>505</v>
      </c>
    </row>
    <row r="119" spans="1:28" ht="99.75" x14ac:dyDescent="0.2">
      <c r="A119" s="149" t="s">
        <v>144</v>
      </c>
      <c r="B119" s="149" t="s">
        <v>1829</v>
      </c>
      <c r="C119" s="145" t="s">
        <v>506</v>
      </c>
      <c r="D119" s="3">
        <v>9</v>
      </c>
      <c r="E119" s="141">
        <v>2.41</v>
      </c>
      <c r="F119" s="141">
        <v>0</v>
      </c>
      <c r="G119" s="140">
        <v>22</v>
      </c>
      <c r="H119" s="140">
        <v>0</v>
      </c>
      <c r="I119" s="142">
        <v>0</v>
      </c>
      <c r="J119" s="141">
        <v>0</v>
      </c>
      <c r="K119" s="141">
        <v>0</v>
      </c>
      <c r="T119">
        <v>22</v>
      </c>
      <c r="U119">
        <v>22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</row>
    <row r="120" spans="1:28" ht="14.25" x14ac:dyDescent="0.2">
      <c r="C120" s="35" t="s">
        <v>158</v>
      </c>
      <c r="D120" s="3"/>
      <c r="E120" s="139">
        <v>0</v>
      </c>
      <c r="F120" s="139">
        <v>0</v>
      </c>
      <c r="G120" s="140"/>
      <c r="H120" s="140"/>
      <c r="I120" s="140">
        <v>0</v>
      </c>
      <c r="J120" s="139">
        <v>0</v>
      </c>
      <c r="K120" s="139">
        <v>0</v>
      </c>
    </row>
    <row r="121" spans="1:28" ht="99.75" x14ac:dyDescent="0.2">
      <c r="A121" s="149" t="s">
        <v>148</v>
      </c>
      <c r="B121" s="149" t="s">
        <v>1730</v>
      </c>
      <c r="C121" s="145" t="s">
        <v>1731</v>
      </c>
      <c r="D121" s="3">
        <v>4</v>
      </c>
      <c r="E121" s="141">
        <v>38.590000000000003</v>
      </c>
      <c r="F121" s="141">
        <v>1.81</v>
      </c>
      <c r="G121" s="140">
        <v>154</v>
      </c>
      <c r="H121" s="140">
        <v>106</v>
      </c>
      <c r="I121" s="142">
        <v>7</v>
      </c>
      <c r="J121" s="141">
        <v>2.82</v>
      </c>
      <c r="K121" s="141">
        <v>11.28</v>
      </c>
      <c r="T121">
        <v>326</v>
      </c>
      <c r="U121">
        <v>41</v>
      </c>
      <c r="V121">
        <v>106</v>
      </c>
      <c r="W121">
        <v>7</v>
      </c>
      <c r="X121">
        <v>1</v>
      </c>
      <c r="Y121">
        <v>11.28</v>
      </c>
      <c r="Z121">
        <v>0.08</v>
      </c>
      <c r="AA121">
        <v>102</v>
      </c>
      <c r="AB121">
        <v>70</v>
      </c>
    </row>
    <row r="122" spans="1:28" ht="14.25" x14ac:dyDescent="0.2">
      <c r="C122" s="35" t="s">
        <v>169</v>
      </c>
      <c r="D122" s="3"/>
      <c r="E122" s="139">
        <v>26.51</v>
      </c>
      <c r="F122" s="139">
        <v>0.26</v>
      </c>
      <c r="G122" s="140"/>
      <c r="H122" s="140"/>
      <c r="I122" s="140">
        <v>1</v>
      </c>
      <c r="J122" s="139">
        <v>0.02</v>
      </c>
      <c r="K122" s="139">
        <v>0.08</v>
      </c>
    </row>
    <row r="123" spans="1:28" x14ac:dyDescent="0.2">
      <c r="C123" s="36" t="s">
        <v>507</v>
      </c>
    </row>
    <row r="124" spans="1:28" x14ac:dyDescent="0.2">
      <c r="C124" s="20" t="s">
        <v>89</v>
      </c>
      <c r="D124" s="37">
        <v>95</v>
      </c>
      <c r="E124" s="144">
        <v>25.4315</v>
      </c>
      <c r="F124" s="37"/>
      <c r="G124" s="143">
        <v>102</v>
      </c>
      <c r="H124" s="37" t="s">
        <v>234</v>
      </c>
      <c r="I124" s="37"/>
      <c r="J124" s="37"/>
      <c r="K124" s="37"/>
    </row>
    <row r="125" spans="1:28" x14ac:dyDescent="0.2">
      <c r="C125" s="20" t="s">
        <v>92</v>
      </c>
      <c r="D125" s="37">
        <v>65</v>
      </c>
      <c r="E125" s="144">
        <v>17.400500000000001</v>
      </c>
      <c r="F125" s="37"/>
      <c r="G125" s="143">
        <v>70</v>
      </c>
      <c r="H125" s="37" t="s">
        <v>202</v>
      </c>
      <c r="I125" s="37"/>
      <c r="J125" s="37"/>
      <c r="K125" s="37"/>
    </row>
    <row r="126" spans="1:28" x14ac:dyDescent="0.2">
      <c r="C126" s="20" t="s">
        <v>95</v>
      </c>
      <c r="D126" s="37"/>
      <c r="E126" s="144">
        <v>81.421999999999997</v>
      </c>
      <c r="F126" s="37"/>
      <c r="G126" s="143">
        <v>326</v>
      </c>
      <c r="H126" s="37"/>
      <c r="I126" s="37"/>
      <c r="J126" s="37"/>
      <c r="K126" s="37"/>
    </row>
    <row r="127" spans="1:28" ht="128.25" x14ac:dyDescent="0.2">
      <c r="A127" s="149" t="s">
        <v>149</v>
      </c>
      <c r="B127" s="149" t="s">
        <v>1830</v>
      </c>
      <c r="C127" s="145" t="s">
        <v>1831</v>
      </c>
      <c r="D127" s="3">
        <v>0.153</v>
      </c>
      <c r="E127" s="141">
        <v>4284.0200000000004</v>
      </c>
      <c r="F127" s="141">
        <v>0</v>
      </c>
      <c r="G127" s="140">
        <v>655</v>
      </c>
      <c r="H127" s="140">
        <v>0</v>
      </c>
      <c r="I127" s="142">
        <v>0</v>
      </c>
      <c r="J127" s="141">
        <v>0</v>
      </c>
      <c r="K127" s="141">
        <v>0</v>
      </c>
      <c r="T127">
        <v>655</v>
      </c>
      <c r="U127">
        <v>655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</row>
    <row r="128" spans="1:28" ht="14.25" x14ac:dyDescent="0.2">
      <c r="C128" s="35" t="s">
        <v>444</v>
      </c>
      <c r="D128" s="3"/>
      <c r="E128" s="139">
        <v>0</v>
      </c>
      <c r="F128" s="139">
        <v>0</v>
      </c>
      <c r="G128" s="140"/>
      <c r="H128" s="140"/>
      <c r="I128" s="140">
        <v>0</v>
      </c>
      <c r="J128" s="139">
        <v>0</v>
      </c>
      <c r="K128" s="139">
        <v>0</v>
      </c>
    </row>
    <row r="129" spans="1:28" x14ac:dyDescent="0.2">
      <c r="C129" s="36" t="s">
        <v>508</v>
      </c>
    </row>
    <row r="130" spans="1:28" ht="128.25" x14ac:dyDescent="0.2">
      <c r="A130" s="149" t="s">
        <v>150</v>
      </c>
      <c r="B130" s="149" t="s">
        <v>1832</v>
      </c>
      <c r="C130" s="145" t="s">
        <v>1833</v>
      </c>
      <c r="D130" s="3">
        <v>0.255</v>
      </c>
      <c r="E130" s="141">
        <v>5853.59</v>
      </c>
      <c r="F130" s="141">
        <v>0</v>
      </c>
      <c r="G130" s="140">
        <v>1493</v>
      </c>
      <c r="H130" s="140">
        <v>0</v>
      </c>
      <c r="I130" s="142">
        <v>0</v>
      </c>
      <c r="J130" s="141">
        <v>0</v>
      </c>
      <c r="K130" s="141">
        <v>0</v>
      </c>
      <c r="T130">
        <v>1493</v>
      </c>
      <c r="U130">
        <v>1493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</row>
    <row r="131" spans="1:28" ht="14.25" x14ac:dyDescent="0.2">
      <c r="C131" s="35" t="s">
        <v>444</v>
      </c>
      <c r="D131" s="3"/>
      <c r="E131" s="139">
        <v>0</v>
      </c>
      <c r="F131" s="139">
        <v>0</v>
      </c>
      <c r="G131" s="140"/>
      <c r="H131" s="140"/>
      <c r="I131" s="140">
        <v>0</v>
      </c>
      <c r="J131" s="139">
        <v>0</v>
      </c>
      <c r="K131" s="139">
        <v>0</v>
      </c>
    </row>
    <row r="132" spans="1:28" x14ac:dyDescent="0.2">
      <c r="C132" s="36" t="s">
        <v>1834</v>
      </c>
    </row>
    <row r="133" spans="1:28" ht="99.75" x14ac:dyDescent="0.2">
      <c r="A133" s="149" t="s">
        <v>151</v>
      </c>
      <c r="B133" s="149" t="s">
        <v>1835</v>
      </c>
      <c r="C133" s="145" t="s">
        <v>1836</v>
      </c>
      <c r="D133" s="3">
        <v>3</v>
      </c>
      <c r="E133" s="141">
        <v>9.36</v>
      </c>
      <c r="F133" s="141">
        <v>0</v>
      </c>
      <c r="G133" s="140">
        <v>28</v>
      </c>
      <c r="H133" s="140">
        <v>24</v>
      </c>
      <c r="I133" s="142">
        <v>0</v>
      </c>
      <c r="J133" s="141">
        <v>0.84</v>
      </c>
      <c r="K133" s="141">
        <v>2.52</v>
      </c>
      <c r="T133">
        <v>61</v>
      </c>
      <c r="U133">
        <v>4</v>
      </c>
      <c r="V133">
        <v>24</v>
      </c>
      <c r="W133">
        <v>0</v>
      </c>
      <c r="X133">
        <v>0</v>
      </c>
      <c r="Y133">
        <v>2.52</v>
      </c>
      <c r="Z133">
        <v>0</v>
      </c>
      <c r="AA133">
        <v>19</v>
      </c>
      <c r="AB133">
        <v>14</v>
      </c>
    </row>
    <row r="134" spans="1:28" ht="14.25" x14ac:dyDescent="0.2">
      <c r="C134" s="35" t="s">
        <v>158</v>
      </c>
      <c r="D134" s="3"/>
      <c r="E134" s="139">
        <v>8.08</v>
      </c>
      <c r="F134" s="139">
        <v>0</v>
      </c>
      <c r="G134" s="140"/>
      <c r="H134" s="140"/>
      <c r="I134" s="140">
        <v>0</v>
      </c>
      <c r="J134" s="139">
        <v>0</v>
      </c>
      <c r="K134" s="139">
        <v>0</v>
      </c>
    </row>
    <row r="135" spans="1:28" x14ac:dyDescent="0.2">
      <c r="C135" s="20" t="s">
        <v>89</v>
      </c>
      <c r="D135" s="37">
        <v>80</v>
      </c>
      <c r="E135" s="144">
        <v>6.4639999999999995</v>
      </c>
      <c r="F135" s="37"/>
      <c r="G135" s="143">
        <v>19</v>
      </c>
      <c r="H135" s="37" t="s">
        <v>222</v>
      </c>
      <c r="I135" s="37"/>
      <c r="J135" s="37"/>
      <c r="K135" s="37"/>
    </row>
    <row r="136" spans="1:28" x14ac:dyDescent="0.2">
      <c r="C136" s="20" t="s">
        <v>92</v>
      </c>
      <c r="D136" s="37">
        <v>60</v>
      </c>
      <c r="E136" s="144">
        <v>4.8479999999999999</v>
      </c>
      <c r="F136" s="37"/>
      <c r="G136" s="143">
        <v>14</v>
      </c>
      <c r="H136" s="37" t="s">
        <v>198</v>
      </c>
      <c r="I136" s="37"/>
      <c r="J136" s="37"/>
      <c r="K136" s="37"/>
    </row>
    <row r="137" spans="1:28" x14ac:dyDescent="0.2">
      <c r="C137" s="20" t="s">
        <v>95</v>
      </c>
      <c r="D137" s="37"/>
      <c r="E137" s="144">
        <v>20.671999999999997</v>
      </c>
      <c r="F137" s="37"/>
      <c r="G137" s="143">
        <v>61</v>
      </c>
      <c r="H137" s="37"/>
      <c r="I137" s="37"/>
      <c r="J137" s="37"/>
      <c r="K137" s="37"/>
    </row>
    <row r="138" spans="1:28" ht="99.75" x14ac:dyDescent="0.2">
      <c r="A138" s="149" t="s">
        <v>152</v>
      </c>
      <c r="B138" s="149" t="s">
        <v>1837</v>
      </c>
      <c r="C138" s="145" t="s">
        <v>492</v>
      </c>
      <c r="D138" s="3">
        <v>0.3</v>
      </c>
      <c r="E138" s="141">
        <v>339.9</v>
      </c>
      <c r="F138" s="141">
        <v>0</v>
      </c>
      <c r="G138" s="140">
        <v>102</v>
      </c>
      <c r="H138" s="140">
        <v>0</v>
      </c>
      <c r="I138" s="142">
        <v>0</v>
      </c>
      <c r="J138" s="141">
        <v>0</v>
      </c>
      <c r="K138" s="141">
        <v>0</v>
      </c>
      <c r="T138">
        <v>102</v>
      </c>
      <c r="U138">
        <v>102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</row>
    <row r="139" spans="1:28" ht="14.25" x14ac:dyDescent="0.2">
      <c r="C139" s="35" t="s">
        <v>173</v>
      </c>
      <c r="D139" s="3"/>
      <c r="E139" s="139">
        <v>0</v>
      </c>
      <c r="F139" s="139">
        <v>0</v>
      </c>
      <c r="G139" s="140"/>
      <c r="H139" s="140"/>
      <c r="I139" s="140">
        <v>0</v>
      </c>
      <c r="J139" s="139">
        <v>0</v>
      </c>
      <c r="K139" s="139">
        <v>0</v>
      </c>
    </row>
    <row r="140" spans="1:28" x14ac:dyDescent="0.2">
      <c r="C140" s="36" t="s">
        <v>427</v>
      </c>
    </row>
    <row r="141" spans="1:28" ht="99.75" x14ac:dyDescent="0.2">
      <c r="A141" s="149" t="s">
        <v>154</v>
      </c>
      <c r="B141" s="149" t="s">
        <v>1838</v>
      </c>
      <c r="C141" s="145" t="s">
        <v>1839</v>
      </c>
      <c r="D141" s="3">
        <v>1</v>
      </c>
      <c r="E141" s="141">
        <v>16.079999999999998</v>
      </c>
      <c r="F141" s="141">
        <v>5.43</v>
      </c>
      <c r="G141" s="140">
        <v>16</v>
      </c>
      <c r="H141" s="140">
        <v>10</v>
      </c>
      <c r="I141" s="142">
        <v>5</v>
      </c>
      <c r="J141" s="141">
        <v>1.03</v>
      </c>
      <c r="K141" s="141">
        <v>1.03</v>
      </c>
      <c r="T141">
        <v>33</v>
      </c>
      <c r="U141">
        <v>1</v>
      </c>
      <c r="V141">
        <v>10</v>
      </c>
      <c r="W141">
        <v>5</v>
      </c>
      <c r="X141">
        <v>1</v>
      </c>
      <c r="Y141">
        <v>1.03</v>
      </c>
      <c r="Z141">
        <v>0.06</v>
      </c>
      <c r="AA141">
        <v>10</v>
      </c>
      <c r="AB141">
        <v>7</v>
      </c>
    </row>
    <row r="142" spans="1:28" ht="14.25" x14ac:dyDescent="0.2">
      <c r="C142" s="35" t="s">
        <v>158</v>
      </c>
      <c r="D142" s="3"/>
      <c r="E142" s="139">
        <v>9.91</v>
      </c>
      <c r="F142" s="139">
        <v>0.76</v>
      </c>
      <c r="G142" s="140"/>
      <c r="H142" s="140"/>
      <c r="I142" s="140">
        <v>1</v>
      </c>
      <c r="J142" s="139">
        <v>0.06</v>
      </c>
      <c r="K142" s="139">
        <v>0.06</v>
      </c>
    </row>
    <row r="143" spans="1:28" x14ac:dyDescent="0.2">
      <c r="C143" s="20" t="s">
        <v>89</v>
      </c>
      <c r="D143" s="37">
        <v>95</v>
      </c>
      <c r="E143" s="144">
        <v>10.1365</v>
      </c>
      <c r="F143" s="37"/>
      <c r="G143" s="143">
        <v>10</v>
      </c>
      <c r="H143" s="37" t="s">
        <v>234</v>
      </c>
      <c r="I143" s="37"/>
      <c r="J143" s="37"/>
      <c r="K143" s="37"/>
    </row>
    <row r="144" spans="1:28" x14ac:dyDescent="0.2">
      <c r="C144" s="20" t="s">
        <v>92</v>
      </c>
      <c r="D144" s="37">
        <v>65</v>
      </c>
      <c r="E144" s="144">
        <v>6.9354999999999993</v>
      </c>
      <c r="F144" s="37"/>
      <c r="G144" s="143">
        <v>7</v>
      </c>
      <c r="H144" s="37" t="s">
        <v>202</v>
      </c>
      <c r="I144" s="37"/>
      <c r="J144" s="37"/>
      <c r="K144" s="37"/>
    </row>
    <row r="145" spans="1:29" x14ac:dyDescent="0.2">
      <c r="C145" s="20" t="s">
        <v>95</v>
      </c>
      <c r="D145" s="37"/>
      <c r="E145" s="144">
        <v>33.152000000000001</v>
      </c>
      <c r="F145" s="37"/>
      <c r="G145" s="143">
        <v>33</v>
      </c>
      <c r="H145" s="37"/>
      <c r="I145" s="37"/>
      <c r="J145" s="37"/>
      <c r="K145" s="37"/>
    </row>
    <row r="146" spans="1:29" ht="99.75" x14ac:dyDescent="0.2">
      <c r="A146" s="149" t="s">
        <v>155</v>
      </c>
      <c r="B146" s="149" t="s">
        <v>1840</v>
      </c>
      <c r="C146" s="145" t="s">
        <v>494</v>
      </c>
      <c r="D146" s="3">
        <v>0.1</v>
      </c>
      <c r="E146" s="141">
        <v>356.62</v>
      </c>
      <c r="F146" s="141">
        <v>0</v>
      </c>
      <c r="G146" s="140">
        <v>36</v>
      </c>
      <c r="H146" s="140">
        <v>0</v>
      </c>
      <c r="I146" s="142">
        <v>0</v>
      </c>
      <c r="J146" s="141">
        <v>0</v>
      </c>
      <c r="K146" s="141">
        <v>0</v>
      </c>
      <c r="T146">
        <v>36</v>
      </c>
      <c r="U146">
        <v>36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</row>
    <row r="147" spans="1:29" ht="14.25" x14ac:dyDescent="0.2">
      <c r="C147" s="35" t="s">
        <v>173</v>
      </c>
      <c r="D147" s="3"/>
      <c r="E147" s="139">
        <v>0</v>
      </c>
      <c r="F147" s="139">
        <v>0</v>
      </c>
      <c r="G147" s="140"/>
      <c r="H147" s="140"/>
      <c r="I147" s="140">
        <v>0</v>
      </c>
      <c r="J147" s="139">
        <v>0</v>
      </c>
      <c r="K147" s="139">
        <v>0</v>
      </c>
    </row>
    <row r="148" spans="1:29" x14ac:dyDescent="0.2">
      <c r="C148" s="36" t="s">
        <v>418</v>
      </c>
    </row>
    <row r="149" spans="1:29" ht="99.75" x14ac:dyDescent="0.2">
      <c r="A149" s="149" t="s">
        <v>156</v>
      </c>
      <c r="B149" s="149" t="s">
        <v>1841</v>
      </c>
      <c r="C149" s="145" t="s">
        <v>1842</v>
      </c>
      <c r="D149" s="3">
        <v>1</v>
      </c>
      <c r="E149" s="141">
        <v>19.239999999999998</v>
      </c>
      <c r="F149" s="141">
        <v>0</v>
      </c>
      <c r="G149" s="140">
        <v>19</v>
      </c>
      <c r="H149" s="140">
        <v>16</v>
      </c>
      <c r="I149" s="142">
        <v>0</v>
      </c>
      <c r="J149" s="141">
        <v>1.68</v>
      </c>
      <c r="K149" s="141">
        <v>1.68</v>
      </c>
      <c r="T149">
        <v>42</v>
      </c>
      <c r="U149">
        <v>3</v>
      </c>
      <c r="V149">
        <v>16</v>
      </c>
      <c r="W149">
        <v>0</v>
      </c>
      <c r="X149">
        <v>0</v>
      </c>
      <c r="Y149">
        <v>1.68</v>
      </c>
      <c r="Z149">
        <v>0</v>
      </c>
      <c r="AA149">
        <v>13</v>
      </c>
      <c r="AB149">
        <v>10</v>
      </c>
    </row>
    <row r="150" spans="1:29" ht="14.25" x14ac:dyDescent="0.2">
      <c r="C150" s="35" t="s">
        <v>158</v>
      </c>
      <c r="D150" s="3"/>
      <c r="E150" s="139">
        <v>16.16</v>
      </c>
      <c r="F150" s="139">
        <v>0</v>
      </c>
      <c r="G150" s="140"/>
      <c r="H150" s="140"/>
      <c r="I150" s="140">
        <v>0</v>
      </c>
      <c r="J150" s="139">
        <v>0</v>
      </c>
      <c r="K150" s="139">
        <v>0</v>
      </c>
    </row>
    <row r="151" spans="1:29" x14ac:dyDescent="0.2">
      <c r="C151" s="20" t="s">
        <v>89</v>
      </c>
      <c r="D151" s="37">
        <v>80</v>
      </c>
      <c r="E151" s="144">
        <v>12.927999999999999</v>
      </c>
      <c r="F151" s="37"/>
      <c r="G151" s="143">
        <v>13</v>
      </c>
      <c r="H151" s="37" t="s">
        <v>222</v>
      </c>
      <c r="I151" s="37"/>
      <c r="J151" s="37"/>
      <c r="K151" s="37"/>
    </row>
    <row r="152" spans="1:29" x14ac:dyDescent="0.2">
      <c r="C152" s="20" t="s">
        <v>92</v>
      </c>
      <c r="D152" s="37">
        <v>60</v>
      </c>
      <c r="E152" s="144">
        <v>9.6959999999999997</v>
      </c>
      <c r="F152" s="37"/>
      <c r="G152" s="143">
        <v>10</v>
      </c>
      <c r="H152" s="37" t="s">
        <v>198</v>
      </c>
      <c r="I152" s="37"/>
      <c r="J152" s="37"/>
      <c r="K152" s="37"/>
    </row>
    <row r="153" spans="1:29" x14ac:dyDescent="0.2">
      <c r="C153" s="20" t="s">
        <v>95</v>
      </c>
      <c r="D153" s="37"/>
      <c r="E153" s="144">
        <v>41.863999999999997</v>
      </c>
      <c r="F153" s="37"/>
      <c r="G153" s="143">
        <v>42</v>
      </c>
      <c r="H153" s="37"/>
      <c r="I153" s="37"/>
      <c r="J153" s="37"/>
      <c r="K153" s="37"/>
    </row>
    <row r="154" spans="1:29" ht="99.75" x14ac:dyDescent="0.2">
      <c r="A154" s="149" t="s">
        <v>159</v>
      </c>
      <c r="B154" s="149" t="s">
        <v>1843</v>
      </c>
      <c r="C154" s="145" t="s">
        <v>1844</v>
      </c>
      <c r="D154" s="3">
        <v>0.1</v>
      </c>
      <c r="E154" s="141">
        <v>290.83</v>
      </c>
      <c r="F154" s="141">
        <v>0</v>
      </c>
      <c r="G154" s="140">
        <v>29</v>
      </c>
      <c r="H154" s="140">
        <v>0</v>
      </c>
      <c r="I154" s="142">
        <v>0</v>
      </c>
      <c r="J154" s="141">
        <v>0</v>
      </c>
      <c r="K154" s="141">
        <v>0</v>
      </c>
      <c r="T154">
        <v>29</v>
      </c>
      <c r="U154">
        <v>29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</row>
    <row r="155" spans="1:29" ht="14.25" x14ac:dyDescent="0.2">
      <c r="C155" s="35" t="s">
        <v>173</v>
      </c>
      <c r="D155" s="3"/>
      <c r="E155" s="139">
        <v>0</v>
      </c>
      <c r="F155" s="139">
        <v>0</v>
      </c>
      <c r="G155" s="140"/>
      <c r="H155" s="140"/>
      <c r="I155" s="140">
        <v>0</v>
      </c>
      <c r="J155" s="139">
        <v>0</v>
      </c>
      <c r="K155" s="139">
        <v>0</v>
      </c>
    </row>
    <row r="156" spans="1:29" x14ac:dyDescent="0.2">
      <c r="C156" s="36" t="s">
        <v>418</v>
      </c>
    </row>
    <row r="158" spans="1:29" ht="45" x14ac:dyDescent="0.25">
      <c r="B158" s="188" t="s">
        <v>1845</v>
      </c>
      <c r="C158" s="188"/>
      <c r="D158" s="188"/>
      <c r="E158" s="188"/>
      <c r="F158" s="188"/>
      <c r="G158" s="188"/>
      <c r="H158" s="188"/>
      <c r="I158" s="188"/>
      <c r="J158" s="188"/>
      <c r="AC158" s="147" t="s">
        <v>1845</v>
      </c>
    </row>
    <row r="159" spans="1:29" ht="146.25" x14ac:dyDescent="0.2">
      <c r="A159" s="149" t="s">
        <v>160</v>
      </c>
      <c r="B159" s="149" t="s">
        <v>1835</v>
      </c>
      <c r="C159" s="145" t="s">
        <v>1820</v>
      </c>
      <c r="D159" s="3">
        <v>32</v>
      </c>
      <c r="E159" s="141">
        <v>2.42</v>
      </c>
      <c r="F159" s="141">
        <v>0</v>
      </c>
      <c r="G159" s="140">
        <v>77</v>
      </c>
      <c r="H159" s="140">
        <v>77</v>
      </c>
      <c r="I159" s="142">
        <v>0</v>
      </c>
      <c r="J159" s="141">
        <v>0.252</v>
      </c>
      <c r="K159" s="141">
        <v>8.0640000000000001</v>
      </c>
      <c r="T159">
        <v>185</v>
      </c>
      <c r="U159">
        <v>0</v>
      </c>
      <c r="V159">
        <v>77</v>
      </c>
      <c r="W159">
        <v>0</v>
      </c>
      <c r="X159">
        <v>0</v>
      </c>
      <c r="Y159">
        <v>8.0640000000000001</v>
      </c>
      <c r="Z159">
        <v>0</v>
      </c>
      <c r="AA159">
        <v>62</v>
      </c>
      <c r="AB159">
        <v>46</v>
      </c>
    </row>
    <row r="160" spans="1:29" ht="14.25" x14ac:dyDescent="0.2">
      <c r="C160" s="35" t="s">
        <v>158</v>
      </c>
      <c r="D160" s="3"/>
      <c r="E160" s="139">
        <v>2.42</v>
      </c>
      <c r="F160" s="139">
        <v>0</v>
      </c>
      <c r="G160" s="140"/>
      <c r="H160" s="140"/>
      <c r="I160" s="140">
        <v>0</v>
      </c>
      <c r="J160" s="139">
        <v>0</v>
      </c>
      <c r="K160" s="139">
        <v>0</v>
      </c>
    </row>
    <row r="161" spans="1:28" ht="63.75" x14ac:dyDescent="0.2">
      <c r="C161" s="152" t="s">
        <v>1846</v>
      </c>
    </row>
    <row r="162" spans="1:28" x14ac:dyDescent="0.2">
      <c r="C162" s="20" t="s">
        <v>89</v>
      </c>
      <c r="D162" s="37">
        <v>80</v>
      </c>
      <c r="E162" s="144">
        <v>1.9359999999999999</v>
      </c>
      <c r="F162" s="37"/>
      <c r="G162" s="143">
        <v>62</v>
      </c>
      <c r="H162" s="37" t="s">
        <v>222</v>
      </c>
      <c r="I162" s="37"/>
      <c r="J162" s="37"/>
      <c r="K162" s="37"/>
    </row>
    <row r="163" spans="1:28" x14ac:dyDescent="0.2">
      <c r="C163" s="20" t="s">
        <v>92</v>
      </c>
      <c r="D163" s="37">
        <v>60</v>
      </c>
      <c r="E163" s="144">
        <v>1.452</v>
      </c>
      <c r="F163" s="37"/>
      <c r="G163" s="143">
        <v>46</v>
      </c>
      <c r="H163" s="37" t="s">
        <v>198</v>
      </c>
      <c r="I163" s="37"/>
      <c r="J163" s="37"/>
      <c r="K163" s="37"/>
    </row>
    <row r="164" spans="1:28" x14ac:dyDescent="0.2">
      <c r="C164" s="20" t="s">
        <v>95</v>
      </c>
      <c r="D164" s="37"/>
      <c r="E164" s="144">
        <v>5.8079999999999998</v>
      </c>
      <c r="F164" s="37"/>
      <c r="G164" s="143">
        <v>185</v>
      </c>
      <c r="H164" s="37"/>
      <c r="I164" s="37"/>
      <c r="J164" s="37"/>
      <c r="K164" s="37"/>
    </row>
    <row r="165" spans="1:28" ht="174.75" x14ac:dyDescent="0.2">
      <c r="A165" s="149" t="s">
        <v>161</v>
      </c>
      <c r="B165" s="149" t="s">
        <v>1838</v>
      </c>
      <c r="C165" s="145" t="s">
        <v>1819</v>
      </c>
      <c r="D165" s="3">
        <v>6</v>
      </c>
      <c r="E165" s="141">
        <v>4.5999999999999996</v>
      </c>
      <c r="F165" s="141">
        <v>1.63</v>
      </c>
      <c r="G165" s="140">
        <v>28</v>
      </c>
      <c r="H165" s="140">
        <v>18</v>
      </c>
      <c r="I165" s="142">
        <v>10</v>
      </c>
      <c r="J165" s="141">
        <v>0.309</v>
      </c>
      <c r="K165" s="141">
        <v>1.8540000000000001</v>
      </c>
      <c r="T165">
        <v>58</v>
      </c>
      <c r="U165">
        <v>0</v>
      </c>
      <c r="V165">
        <v>18</v>
      </c>
      <c r="W165">
        <v>10</v>
      </c>
      <c r="X165">
        <v>1</v>
      </c>
      <c r="Y165">
        <v>1.8540000000000001</v>
      </c>
      <c r="Z165">
        <v>0.10799999999999998</v>
      </c>
      <c r="AA165">
        <v>18</v>
      </c>
      <c r="AB165">
        <v>12</v>
      </c>
    </row>
    <row r="166" spans="1:28" ht="14.25" x14ac:dyDescent="0.2">
      <c r="C166" s="35" t="s">
        <v>158</v>
      </c>
      <c r="D166" s="3"/>
      <c r="E166" s="139">
        <v>2.97</v>
      </c>
      <c r="F166" s="139">
        <v>0.23</v>
      </c>
      <c r="G166" s="140"/>
      <c r="H166" s="140"/>
      <c r="I166" s="140">
        <v>1</v>
      </c>
      <c r="J166" s="139">
        <v>1.7999999999999999E-2</v>
      </c>
      <c r="K166" s="139">
        <v>0.10799999999999998</v>
      </c>
    </row>
    <row r="167" spans="1:28" ht="63.75" x14ac:dyDescent="0.2">
      <c r="C167" s="152" t="s">
        <v>1846</v>
      </c>
    </row>
    <row r="168" spans="1:28" x14ac:dyDescent="0.2">
      <c r="C168" s="20" t="s">
        <v>89</v>
      </c>
      <c r="D168" s="37">
        <v>95</v>
      </c>
      <c r="E168" s="144">
        <v>3.04</v>
      </c>
      <c r="F168" s="37"/>
      <c r="G168" s="143">
        <v>18</v>
      </c>
      <c r="H168" s="37" t="s">
        <v>234</v>
      </c>
      <c r="I168" s="37"/>
      <c r="J168" s="37"/>
      <c r="K168" s="37"/>
    </row>
    <row r="169" spans="1:28" x14ac:dyDescent="0.2">
      <c r="C169" s="20" t="s">
        <v>92</v>
      </c>
      <c r="D169" s="37">
        <v>65</v>
      </c>
      <c r="E169" s="144">
        <v>2.08</v>
      </c>
      <c r="F169" s="37"/>
      <c r="G169" s="143">
        <v>12</v>
      </c>
      <c r="H169" s="37" t="s">
        <v>202</v>
      </c>
      <c r="I169" s="37"/>
      <c r="J169" s="37"/>
      <c r="K169" s="37"/>
    </row>
    <row r="170" spans="1:28" x14ac:dyDescent="0.2">
      <c r="C170" s="20" t="s">
        <v>95</v>
      </c>
      <c r="D170" s="37"/>
      <c r="E170" s="144">
        <v>9.7199999999999989</v>
      </c>
      <c r="F170" s="37"/>
      <c r="G170" s="143">
        <v>58</v>
      </c>
      <c r="H170" s="37"/>
      <c r="I170" s="37"/>
      <c r="J170" s="37"/>
      <c r="K170" s="37"/>
    </row>
    <row r="171" spans="1:28" ht="85.5" x14ac:dyDescent="0.2">
      <c r="A171" s="149" t="s">
        <v>162</v>
      </c>
      <c r="B171" s="149" t="s">
        <v>1847</v>
      </c>
      <c r="C171" s="145" t="s">
        <v>1848</v>
      </c>
      <c r="D171" s="3">
        <v>1.5</v>
      </c>
      <c r="E171" s="141">
        <v>75.5</v>
      </c>
      <c r="F171" s="141">
        <v>0.31</v>
      </c>
      <c r="G171" s="140">
        <v>113</v>
      </c>
      <c r="H171" s="140">
        <v>113</v>
      </c>
      <c r="I171" s="142">
        <v>0</v>
      </c>
      <c r="J171" s="141">
        <v>9.64</v>
      </c>
      <c r="K171" s="141">
        <v>14.46</v>
      </c>
      <c r="T171">
        <v>282</v>
      </c>
      <c r="U171">
        <v>0</v>
      </c>
      <c r="V171">
        <v>113</v>
      </c>
      <c r="W171">
        <v>0</v>
      </c>
      <c r="X171">
        <v>0</v>
      </c>
      <c r="Y171">
        <v>14.46</v>
      </c>
      <c r="Z171">
        <v>1.4999999999999999E-2</v>
      </c>
      <c r="AA171">
        <v>96</v>
      </c>
      <c r="AB171">
        <v>73</v>
      </c>
    </row>
    <row r="172" spans="1:28" ht="14.25" x14ac:dyDescent="0.2">
      <c r="C172" s="35" t="s">
        <v>169</v>
      </c>
      <c r="D172" s="3"/>
      <c r="E172" s="139">
        <v>75.19</v>
      </c>
      <c r="F172" s="139">
        <v>0.14000000000000001</v>
      </c>
      <c r="G172" s="140"/>
      <c r="H172" s="140"/>
      <c r="I172" s="140">
        <v>0</v>
      </c>
      <c r="J172" s="139">
        <v>0.01</v>
      </c>
      <c r="K172" s="139">
        <v>1.4999999999999999E-2</v>
      </c>
    </row>
    <row r="173" spans="1:28" x14ac:dyDescent="0.2">
      <c r="C173" s="36" t="s">
        <v>664</v>
      </c>
    </row>
    <row r="174" spans="1:28" x14ac:dyDescent="0.2">
      <c r="C174" s="20" t="s">
        <v>89</v>
      </c>
      <c r="D174" s="37">
        <v>85</v>
      </c>
      <c r="E174" s="144">
        <v>64.030500000000004</v>
      </c>
      <c r="F174" s="37"/>
      <c r="G174" s="143">
        <v>96</v>
      </c>
      <c r="H174" s="37" t="s">
        <v>225</v>
      </c>
      <c r="I174" s="37"/>
      <c r="J174" s="37"/>
      <c r="K174" s="37"/>
    </row>
    <row r="175" spans="1:28" x14ac:dyDescent="0.2">
      <c r="C175" s="20" t="s">
        <v>92</v>
      </c>
      <c r="D175" s="37">
        <v>65</v>
      </c>
      <c r="E175" s="144">
        <v>48.964500000000001</v>
      </c>
      <c r="F175" s="37"/>
      <c r="G175" s="143">
        <v>73</v>
      </c>
      <c r="H175" s="37" t="s">
        <v>202</v>
      </c>
      <c r="I175" s="37"/>
      <c r="J175" s="37"/>
      <c r="K175" s="37"/>
    </row>
    <row r="176" spans="1:28" x14ac:dyDescent="0.2">
      <c r="C176" s="20" t="s">
        <v>95</v>
      </c>
      <c r="D176" s="37"/>
      <c r="E176" s="144">
        <v>188.495</v>
      </c>
      <c r="F176" s="37"/>
      <c r="G176" s="143">
        <v>282</v>
      </c>
      <c r="H176" s="37"/>
      <c r="I176" s="37"/>
      <c r="J176" s="37"/>
      <c r="K176" s="37"/>
    </row>
    <row r="178" spans="1:11" ht="15" x14ac:dyDescent="0.25">
      <c r="A178" s="4"/>
      <c r="B178" s="4"/>
      <c r="C178" s="187" t="s">
        <v>509</v>
      </c>
      <c r="D178" s="187"/>
      <c r="E178" s="187"/>
      <c r="F178" s="187"/>
      <c r="G178" s="136">
        <f>IF(SUM(T100:T177)=0, "-", SUM(T100:T177))</f>
        <v>7860</v>
      </c>
      <c r="H178" s="136">
        <f>IF(SUM(V100:V177)=0, "-", SUM(V100:V177))</f>
        <v>1325</v>
      </c>
      <c r="I178" s="138">
        <f>IF(SUM(W100:W177)=0, "-", SUM(W100:W177))</f>
        <v>24</v>
      </c>
      <c r="J178" s="136"/>
      <c r="K178" s="137">
        <f>IF(SUM(Y100:Y177)=0, "-", SUM(Y100:Y177))</f>
        <v>141.886</v>
      </c>
    </row>
    <row r="179" spans="1:11" ht="15" x14ac:dyDescent="0.25">
      <c r="A179" s="4"/>
      <c r="B179" s="4"/>
      <c r="C179" s="4"/>
      <c r="D179" s="4"/>
      <c r="E179" s="4"/>
      <c r="F179" s="4"/>
      <c r="G179" s="136"/>
      <c r="H179" s="136"/>
      <c r="I179" s="136">
        <f>IF(SUM(X100:X177)=0, "-", SUM(X100:X177))</f>
        <v>4</v>
      </c>
      <c r="J179" s="136"/>
      <c r="K179" s="135">
        <f>IF(SUM(Z100:Z177)=0, "-", SUM(Z100:Z177))</f>
        <v>0.32500000000000001</v>
      </c>
    </row>
    <row r="182" spans="1:11" ht="14.25" x14ac:dyDescent="0.2">
      <c r="C182" s="183" t="s">
        <v>127</v>
      </c>
      <c r="D182" s="183"/>
      <c r="E182" s="183"/>
      <c r="F182" s="183"/>
      <c r="G182" s="183"/>
      <c r="H182" s="172">
        <v>1325</v>
      </c>
      <c r="I182" s="172"/>
    </row>
    <row r="183" spans="1:11" ht="14.25" x14ac:dyDescent="0.2">
      <c r="C183" s="183" t="s">
        <v>128</v>
      </c>
      <c r="D183" s="183"/>
      <c r="E183" s="183"/>
      <c r="F183" s="183"/>
      <c r="G183" s="183"/>
      <c r="H183" s="172">
        <v>24</v>
      </c>
      <c r="I183" s="172"/>
    </row>
    <row r="184" spans="1:11" ht="14.25" x14ac:dyDescent="0.2">
      <c r="C184" s="183" t="s">
        <v>129</v>
      </c>
      <c r="D184" s="183"/>
      <c r="E184" s="183"/>
      <c r="F184" s="183"/>
      <c r="G184" s="183"/>
      <c r="H184" s="172">
        <v>4420</v>
      </c>
      <c r="I184" s="172"/>
    </row>
    <row r="185" spans="1:11" ht="14.25" x14ac:dyDescent="0.2">
      <c r="C185" s="183" t="s">
        <v>130</v>
      </c>
      <c r="D185" s="183"/>
      <c r="E185" s="183"/>
      <c r="F185" s="183"/>
      <c r="G185" s="183"/>
      <c r="H185" s="172">
        <v>1234</v>
      </c>
      <c r="I185" s="172"/>
    </row>
    <row r="186" spans="1:11" ht="14.25" x14ac:dyDescent="0.2">
      <c r="C186" s="183" t="s">
        <v>131</v>
      </c>
      <c r="D186" s="183"/>
      <c r="E186" s="183"/>
      <c r="F186" s="183"/>
      <c r="G186" s="183"/>
      <c r="H186" s="172">
        <v>857</v>
      </c>
      <c r="I186" s="172"/>
    </row>
    <row r="187" spans="1:11" ht="14.25" x14ac:dyDescent="0.2">
      <c r="C187" s="183" t="s">
        <v>134</v>
      </c>
      <c r="D187" s="183"/>
      <c r="E187" s="183"/>
      <c r="F187" s="183"/>
      <c r="G187" s="183"/>
      <c r="H187" s="172">
        <v>7860</v>
      </c>
      <c r="I187" s="172"/>
    </row>
    <row r="189" spans="1:11" ht="15" x14ac:dyDescent="0.25">
      <c r="A189" s="4"/>
      <c r="B189" s="4"/>
      <c r="C189" s="187" t="s">
        <v>510</v>
      </c>
      <c r="D189" s="187"/>
      <c r="E189" s="187"/>
      <c r="F189" s="187"/>
      <c r="G189" s="136">
        <f>IF(SUM(T23:T188)=0, "-", SUM(T23:T188))</f>
        <v>15420</v>
      </c>
      <c r="H189" s="136">
        <f>IF(SUM(V23:V188)=0, "-", SUM(V23:V188))</f>
        <v>2010</v>
      </c>
      <c r="I189" s="138">
        <f>IF(SUM(W23:W188)=0, "-", SUM(W23:W188))</f>
        <v>57</v>
      </c>
      <c r="J189" s="136"/>
      <c r="K189" s="137">
        <f>IF(SUM(Y23:Y188)=0, "-", SUM(Y23:Y188))</f>
        <v>214.43600000000004</v>
      </c>
    </row>
    <row r="190" spans="1:11" ht="15" x14ac:dyDescent="0.25">
      <c r="A190" s="4"/>
      <c r="B190" s="4"/>
      <c r="C190" s="4"/>
      <c r="D190" s="4"/>
      <c r="E190" s="4"/>
      <c r="F190" s="4"/>
      <c r="G190" s="136"/>
      <c r="H190" s="136"/>
      <c r="I190" s="136">
        <f>IF(SUM(X23:X188)=0, "-", SUM(X23:X188))</f>
        <v>9</v>
      </c>
      <c r="J190" s="136"/>
      <c r="K190" s="135">
        <f>IF(SUM(Z23:Z188)=0, "-", SUM(Z23:Z188))</f>
        <v>0.68500000000000005</v>
      </c>
    </row>
    <row r="193" spans="1:11" ht="14.25" x14ac:dyDescent="0.2">
      <c r="C193" s="183" t="s">
        <v>127</v>
      </c>
      <c r="D193" s="183"/>
      <c r="E193" s="183"/>
      <c r="F193" s="183"/>
      <c r="G193" s="183"/>
      <c r="H193" s="172">
        <v>2010</v>
      </c>
      <c r="I193" s="172"/>
    </row>
    <row r="194" spans="1:11" ht="14.25" x14ac:dyDescent="0.2">
      <c r="C194" s="183" t="s">
        <v>128</v>
      </c>
      <c r="D194" s="183"/>
      <c r="E194" s="183"/>
      <c r="F194" s="183"/>
      <c r="G194" s="183"/>
      <c r="H194" s="172">
        <v>57</v>
      </c>
      <c r="I194" s="172"/>
    </row>
    <row r="195" spans="1:11" ht="14.25" x14ac:dyDescent="0.2">
      <c r="C195" s="183" t="s">
        <v>129</v>
      </c>
      <c r="D195" s="183"/>
      <c r="E195" s="183"/>
      <c r="F195" s="183"/>
      <c r="G195" s="183"/>
      <c r="H195" s="172">
        <v>10257</v>
      </c>
      <c r="I195" s="172"/>
    </row>
    <row r="196" spans="1:11" ht="14.25" x14ac:dyDescent="0.2">
      <c r="C196" s="183" t="s">
        <v>130</v>
      </c>
      <c r="D196" s="183"/>
      <c r="E196" s="183"/>
      <c r="F196" s="183"/>
      <c r="G196" s="183"/>
      <c r="H196" s="172">
        <v>1815</v>
      </c>
      <c r="I196" s="172"/>
    </row>
    <row r="197" spans="1:11" ht="14.25" x14ac:dyDescent="0.2">
      <c r="C197" s="183" t="s">
        <v>131</v>
      </c>
      <c r="D197" s="183"/>
      <c r="E197" s="183"/>
      <c r="F197" s="183"/>
      <c r="G197" s="183"/>
      <c r="H197" s="172">
        <v>1281</v>
      </c>
      <c r="I197" s="172"/>
    </row>
    <row r="198" spans="1:11" ht="14.25" x14ac:dyDescent="0.2">
      <c r="C198" s="183" t="s">
        <v>134</v>
      </c>
      <c r="D198" s="183"/>
      <c r="E198" s="183"/>
      <c r="F198" s="183"/>
      <c r="G198" s="183"/>
      <c r="H198" s="172">
        <v>15420</v>
      </c>
      <c r="I198" s="172"/>
    </row>
    <row r="200" spans="1:11" ht="14.25" x14ac:dyDescent="0.2">
      <c r="A200" s="173" t="s">
        <v>315</v>
      </c>
      <c r="B200" s="173"/>
      <c r="C200" s="151" t="s">
        <v>316</v>
      </c>
      <c r="D200" s="31"/>
      <c r="E200" s="31"/>
      <c r="F200" s="31"/>
      <c r="G200" s="31"/>
      <c r="H200" s="31"/>
      <c r="I200" s="150" t="s">
        <v>317</v>
      </c>
      <c r="J200" s="3"/>
      <c r="K200" s="3"/>
    </row>
    <row r="201" spans="1:11" ht="14.25" x14ac:dyDescent="0.2">
      <c r="A201" s="3"/>
      <c r="B201" s="3"/>
      <c r="C201" s="189" t="s">
        <v>318</v>
      </c>
      <c r="D201" s="189"/>
      <c r="E201" s="189"/>
      <c r="F201" s="189"/>
      <c r="G201" s="189"/>
      <c r="H201" s="189"/>
      <c r="I201" s="3"/>
      <c r="J201" s="3"/>
      <c r="K201" s="3"/>
    </row>
    <row r="202" spans="1:11" ht="14.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4.25" x14ac:dyDescent="0.2">
      <c r="A203" s="173" t="s">
        <v>319</v>
      </c>
      <c r="B203" s="173"/>
      <c r="C203" s="151" t="s">
        <v>320</v>
      </c>
      <c r="D203" s="31"/>
      <c r="E203" s="31"/>
      <c r="F203" s="31"/>
      <c r="G203" s="31"/>
      <c r="H203" s="31"/>
      <c r="I203" s="150" t="s">
        <v>321</v>
      </c>
      <c r="J203" s="3"/>
      <c r="K203" s="3"/>
    </row>
    <row r="204" spans="1:11" ht="14.25" x14ac:dyDescent="0.2">
      <c r="A204" s="3"/>
      <c r="B204" s="3"/>
      <c r="C204" s="189" t="s">
        <v>318</v>
      </c>
      <c r="D204" s="189"/>
      <c r="E204" s="189"/>
      <c r="F204" s="189"/>
      <c r="G204" s="189"/>
      <c r="H204" s="189"/>
      <c r="I204" s="3"/>
      <c r="J204" s="3"/>
      <c r="K204" s="3"/>
    </row>
  </sheetData>
  <mergeCells count="81">
    <mergeCell ref="H183:I183"/>
    <mergeCell ref="C184:G184"/>
    <mergeCell ref="H184:I184"/>
    <mergeCell ref="C185:G185"/>
    <mergeCell ref="A203:B203"/>
    <mergeCell ref="C195:G195"/>
    <mergeCell ref="H195:I195"/>
    <mergeCell ref="C196:G196"/>
    <mergeCell ref="A200:B200"/>
    <mergeCell ref="H196:I196"/>
    <mergeCell ref="C186:G186"/>
    <mergeCell ref="H193:I193"/>
    <mergeCell ref="C183:G183"/>
    <mergeCell ref="H185:I185"/>
    <mergeCell ref="C204:H204"/>
    <mergeCell ref="F11:H11"/>
    <mergeCell ref="F12:H12"/>
    <mergeCell ref="F13:H13"/>
    <mergeCell ref="H186:I186"/>
    <mergeCell ref="C187:G187"/>
    <mergeCell ref="H187:I187"/>
    <mergeCell ref="C189:F189"/>
    <mergeCell ref="C193:G193"/>
    <mergeCell ref="C201:H201"/>
    <mergeCell ref="C197:G197"/>
    <mergeCell ref="H197:I197"/>
    <mergeCell ref="C198:G198"/>
    <mergeCell ref="H198:I198"/>
    <mergeCell ref="C194:G194"/>
    <mergeCell ref="H194:I194"/>
    <mergeCell ref="C182:G182"/>
    <mergeCell ref="H182:I182"/>
    <mergeCell ref="I11:J11"/>
    <mergeCell ref="I12:J12"/>
    <mergeCell ref="I13:J13"/>
    <mergeCell ref="C96:G96"/>
    <mergeCell ref="H96:I96"/>
    <mergeCell ref="C97:G97"/>
    <mergeCell ref="H97:I97"/>
    <mergeCell ref="C98:G98"/>
    <mergeCell ref="H98:I98"/>
    <mergeCell ref="A100:K100"/>
    <mergeCell ref="B158:J158"/>
    <mergeCell ref="C178:F178"/>
    <mergeCell ref="A23:K23"/>
    <mergeCell ref="A25:K25"/>
    <mergeCell ref="C89:F89"/>
    <mergeCell ref="C93:G93"/>
    <mergeCell ref="H93:I93"/>
    <mergeCell ref="C95:G95"/>
    <mergeCell ref="H95:I95"/>
    <mergeCell ref="C94:G94"/>
    <mergeCell ref="H94:I94"/>
    <mergeCell ref="E17:E18"/>
    <mergeCell ref="F17:F18"/>
    <mergeCell ref="G17:G20"/>
    <mergeCell ref="H17:H20"/>
    <mergeCell ref="I17:I18"/>
    <mergeCell ref="E19:E20"/>
    <mergeCell ref="F19:F20"/>
    <mergeCell ref="F15:H15"/>
    <mergeCell ref="I15:J15"/>
    <mergeCell ref="A16:A20"/>
    <mergeCell ref="B16:B20"/>
    <mergeCell ref="C16:C20"/>
    <mergeCell ref="D16:D20"/>
    <mergeCell ref="E16:F16"/>
    <mergeCell ref="I19:I20"/>
    <mergeCell ref="J19:K19"/>
    <mergeCell ref="G16:I16"/>
    <mergeCell ref="A10:E15"/>
    <mergeCell ref="F10:H10"/>
    <mergeCell ref="I10:J10"/>
    <mergeCell ref="F14:H14"/>
    <mergeCell ref="I14:J14"/>
    <mergeCell ref="J16:K18"/>
    <mergeCell ref="A3:B3"/>
    <mergeCell ref="C3:K3"/>
    <mergeCell ref="A5:K5"/>
    <mergeCell ref="A6:K6"/>
    <mergeCell ref="A8:K8"/>
  </mergeCells>
  <pageMargins left="0.4" right="0.2" top="0.2" bottom="0.4" header="0.2" footer="0.2"/>
  <pageSetup paperSize="9" scale="60" fitToHeight="0" orientation="portrait" r:id="rId1"/>
  <headerFooter>
    <oddHeader>&amp;L&amp;8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009"/>
  <sheetViews>
    <sheetView workbookViewId="0">
      <selection activeCell="C1000" sqref="C1000:G1000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29" width="0" hidden="1" customWidth="1"/>
    <col min="30" max="30" width="136.7109375" hidden="1" customWidth="1"/>
    <col min="31" max="32" width="0" hidden="1" customWidth="1"/>
    <col min="33" max="33" width="76.7109375" hidden="1" customWidth="1"/>
    <col min="34" max="37" width="0" hidden="1" customWidth="1"/>
  </cols>
  <sheetData>
    <row r="1" spans="1:30" x14ac:dyDescent="0.2">
      <c r="A1" s="2" t="s">
        <v>61</v>
      </c>
      <c r="K1" s="2" t="s">
        <v>62</v>
      </c>
    </row>
    <row r="2" spans="1:30" ht="14.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30" ht="31.5" x14ac:dyDescent="0.25">
      <c r="A3" s="177" t="s">
        <v>63</v>
      </c>
      <c r="B3" s="177"/>
      <c r="C3" s="178" t="s">
        <v>64</v>
      </c>
      <c r="D3" s="178"/>
      <c r="E3" s="178"/>
      <c r="F3" s="178"/>
      <c r="G3" s="178"/>
      <c r="H3" s="178"/>
      <c r="I3" s="178"/>
      <c r="J3" s="178"/>
      <c r="K3" s="178"/>
      <c r="L3" s="3"/>
      <c r="M3" s="3"/>
      <c r="AD3" s="32" t="s">
        <v>64</v>
      </c>
    </row>
    <row r="4" spans="1:30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"/>
      <c r="M4" s="3"/>
    </row>
    <row r="5" spans="1:30" ht="18" x14ac:dyDescent="0.25">
      <c r="A5" s="179" t="s">
        <v>511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3"/>
      <c r="M5" s="3"/>
    </row>
    <row r="6" spans="1:30" ht="18" x14ac:dyDescent="0.25">
      <c r="A6" s="180" t="s">
        <v>1917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3"/>
      <c r="M6" s="3"/>
    </row>
    <row r="7" spans="1:30" ht="14.25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"/>
      <c r="M7" s="3"/>
    </row>
    <row r="8" spans="1:30" ht="14.25" x14ac:dyDescent="0.2">
      <c r="A8" s="183" t="s">
        <v>513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3"/>
      <c r="M8" s="3"/>
    </row>
    <row r="9" spans="1:30" ht="14.25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"/>
      <c r="M9" s="3"/>
    </row>
    <row r="10" spans="1:30" ht="14.25" x14ac:dyDescent="0.2">
      <c r="A10" s="184" t="s">
        <v>67</v>
      </c>
      <c r="B10" s="184"/>
      <c r="C10" s="184"/>
      <c r="D10" s="184"/>
      <c r="E10" s="184"/>
      <c r="F10" s="171" t="s">
        <v>68</v>
      </c>
      <c r="G10" s="171"/>
      <c r="H10" s="171"/>
      <c r="I10" s="172">
        <v>500.35</v>
      </c>
      <c r="J10" s="173"/>
      <c r="K10" s="150" t="s">
        <v>69</v>
      </c>
      <c r="L10" s="3"/>
      <c r="M10" s="3"/>
    </row>
    <row r="11" spans="1:30" ht="14.25" x14ac:dyDescent="0.2">
      <c r="A11" s="184"/>
      <c r="B11" s="184"/>
      <c r="C11" s="184"/>
      <c r="D11" s="184"/>
      <c r="E11" s="184"/>
      <c r="F11" s="171" t="s">
        <v>326</v>
      </c>
      <c r="G11" s="171"/>
      <c r="H11" s="171"/>
      <c r="I11" s="172">
        <v>191.92</v>
      </c>
      <c r="J11" s="173"/>
      <c r="K11" s="150" t="s">
        <v>69</v>
      </c>
      <c r="L11" s="3"/>
      <c r="M11" s="3"/>
    </row>
    <row r="12" spans="1:30" ht="14.25" x14ac:dyDescent="0.2">
      <c r="A12" s="184"/>
      <c r="B12" s="184"/>
      <c r="C12" s="184"/>
      <c r="D12" s="184"/>
      <c r="E12" s="184"/>
      <c r="F12" s="171" t="s">
        <v>327</v>
      </c>
      <c r="G12" s="171"/>
      <c r="H12" s="171"/>
      <c r="I12" s="172">
        <v>1.06</v>
      </c>
      <c r="J12" s="173"/>
      <c r="K12" s="150" t="s">
        <v>69</v>
      </c>
      <c r="L12" s="3"/>
      <c r="M12" s="3"/>
    </row>
    <row r="13" spans="1:30" ht="14.25" x14ac:dyDescent="0.2">
      <c r="A13" s="184"/>
      <c r="B13" s="184"/>
      <c r="C13" s="184"/>
      <c r="D13" s="184"/>
      <c r="E13" s="184"/>
      <c r="F13" s="171" t="s">
        <v>328</v>
      </c>
      <c r="G13" s="171"/>
      <c r="H13" s="171"/>
      <c r="I13" s="172">
        <v>307.37</v>
      </c>
      <c r="J13" s="173"/>
      <c r="K13" s="150" t="s">
        <v>69</v>
      </c>
      <c r="L13" s="3"/>
      <c r="M13" s="3"/>
    </row>
    <row r="14" spans="1:30" ht="14.25" x14ac:dyDescent="0.2">
      <c r="A14" s="184"/>
      <c r="B14" s="184"/>
      <c r="C14" s="184"/>
      <c r="D14" s="184"/>
      <c r="E14" s="184"/>
      <c r="F14" s="171" t="s">
        <v>915</v>
      </c>
      <c r="G14" s="171"/>
      <c r="H14" s="171"/>
      <c r="I14" s="172">
        <v>0</v>
      </c>
      <c r="J14" s="173"/>
      <c r="K14" s="150" t="s">
        <v>69</v>
      </c>
      <c r="L14" s="3"/>
      <c r="M14" s="3"/>
    </row>
    <row r="15" spans="1:30" ht="14.25" x14ac:dyDescent="0.2">
      <c r="A15" s="184"/>
      <c r="B15" s="184"/>
      <c r="C15" s="184"/>
      <c r="D15" s="184"/>
      <c r="E15" s="184"/>
      <c r="F15" s="171" t="s">
        <v>70</v>
      </c>
      <c r="G15" s="171"/>
      <c r="H15" s="171"/>
      <c r="I15" s="172">
        <v>1097.117159875</v>
      </c>
      <c r="J15" s="173"/>
      <c r="K15" s="150" t="s">
        <v>71</v>
      </c>
      <c r="L15" s="3"/>
      <c r="M15" s="3"/>
    </row>
    <row r="16" spans="1:30" ht="14.25" x14ac:dyDescent="0.2">
      <c r="A16" s="185"/>
      <c r="B16" s="185"/>
      <c r="C16" s="185"/>
      <c r="D16" s="185"/>
      <c r="E16" s="185"/>
      <c r="F16" s="174" t="s">
        <v>72</v>
      </c>
      <c r="G16" s="174"/>
      <c r="H16" s="174"/>
      <c r="I16" s="175">
        <v>9.9809999999999999</v>
      </c>
      <c r="J16" s="176"/>
      <c r="K16" s="150" t="s">
        <v>69</v>
      </c>
      <c r="L16" s="3"/>
      <c r="M16" s="3"/>
    </row>
    <row r="17" spans="1:28" ht="14.25" x14ac:dyDescent="0.2">
      <c r="A17" s="181" t="s">
        <v>16</v>
      </c>
      <c r="B17" s="181" t="s">
        <v>73</v>
      </c>
      <c r="C17" s="181" t="s">
        <v>74</v>
      </c>
      <c r="D17" s="181" t="s">
        <v>75</v>
      </c>
      <c r="E17" s="181" t="s">
        <v>76</v>
      </c>
      <c r="F17" s="181"/>
      <c r="G17" s="182" t="s">
        <v>77</v>
      </c>
      <c r="H17" s="182"/>
      <c r="I17" s="182"/>
      <c r="J17" s="181" t="s">
        <v>78</v>
      </c>
      <c r="K17" s="181"/>
      <c r="L17" s="3"/>
      <c r="M17" s="3"/>
    </row>
    <row r="18" spans="1:28" ht="20.100000000000001" customHeight="1" x14ac:dyDescent="0.2">
      <c r="A18" s="181"/>
      <c r="B18" s="181"/>
      <c r="C18" s="181"/>
      <c r="D18" s="181"/>
      <c r="E18" s="181" t="s">
        <v>79</v>
      </c>
      <c r="F18" s="181" t="s">
        <v>80</v>
      </c>
      <c r="G18" s="181" t="s">
        <v>79</v>
      </c>
      <c r="H18" s="181" t="s">
        <v>81</v>
      </c>
      <c r="I18" s="181" t="s">
        <v>80</v>
      </c>
      <c r="J18" s="181"/>
      <c r="K18" s="181"/>
      <c r="L18" s="3"/>
      <c r="M18" s="3"/>
    </row>
    <row r="19" spans="1:28" ht="14.25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3"/>
      <c r="M19" s="3"/>
    </row>
    <row r="20" spans="1:28" ht="20.100000000000001" customHeight="1" x14ac:dyDescent="0.2">
      <c r="A20" s="181"/>
      <c r="B20" s="181"/>
      <c r="C20" s="181"/>
      <c r="D20" s="181"/>
      <c r="E20" s="181" t="s">
        <v>82</v>
      </c>
      <c r="F20" s="181" t="s">
        <v>83</v>
      </c>
      <c r="G20" s="181"/>
      <c r="H20" s="181"/>
      <c r="I20" s="181" t="s">
        <v>83</v>
      </c>
      <c r="J20" s="181" t="s">
        <v>84</v>
      </c>
      <c r="K20" s="181"/>
      <c r="L20" s="3"/>
      <c r="M20" s="3"/>
    </row>
    <row r="21" spans="1:28" ht="14.25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48" t="s">
        <v>85</v>
      </c>
      <c r="K21" s="148" t="s">
        <v>86</v>
      </c>
      <c r="L21" s="3"/>
      <c r="M21" s="3"/>
    </row>
    <row r="22" spans="1:28" ht="14.25" x14ac:dyDescent="0.2">
      <c r="A22" s="148">
        <v>1</v>
      </c>
      <c r="B22" s="148">
        <v>2</v>
      </c>
      <c r="C22" s="148">
        <v>3</v>
      </c>
      <c r="D22" s="148">
        <v>4</v>
      </c>
      <c r="E22" s="148">
        <v>5</v>
      </c>
      <c r="F22" s="148">
        <v>6</v>
      </c>
      <c r="G22" s="148">
        <v>7</v>
      </c>
      <c r="H22" s="148">
        <v>8</v>
      </c>
      <c r="I22" s="148">
        <v>9</v>
      </c>
      <c r="J22" s="148">
        <v>10</v>
      </c>
      <c r="K22" s="148">
        <v>11</v>
      </c>
      <c r="L22" s="3"/>
      <c r="M22" s="3"/>
    </row>
    <row r="24" spans="1:28" ht="16.5" x14ac:dyDescent="0.25">
      <c r="A24" s="186" t="s">
        <v>514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</row>
    <row r="26" spans="1:28" ht="16.5" x14ac:dyDescent="0.25">
      <c r="A26" s="186" t="s">
        <v>515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spans="1:28" ht="133.5" x14ac:dyDescent="0.2">
      <c r="A27" s="149" t="s">
        <v>87</v>
      </c>
      <c r="B27" s="149" t="s">
        <v>2035</v>
      </c>
      <c r="C27" s="145" t="s">
        <v>1916</v>
      </c>
      <c r="D27" s="3">
        <v>1</v>
      </c>
      <c r="E27" s="141">
        <v>737.68</v>
      </c>
      <c r="F27" s="141">
        <v>117.36</v>
      </c>
      <c r="G27" s="140">
        <v>737</v>
      </c>
      <c r="H27" s="140">
        <v>423</v>
      </c>
      <c r="I27" s="142">
        <v>117</v>
      </c>
      <c r="J27" s="141">
        <v>46.114999999999995</v>
      </c>
      <c r="K27" s="141">
        <v>46.114999999999995</v>
      </c>
      <c r="T27">
        <v>1538</v>
      </c>
      <c r="U27">
        <v>197</v>
      </c>
      <c r="V27">
        <v>423</v>
      </c>
      <c r="W27">
        <v>117</v>
      </c>
      <c r="X27">
        <v>8</v>
      </c>
      <c r="Y27">
        <v>46.114999999999995</v>
      </c>
      <c r="Z27">
        <v>0.625</v>
      </c>
      <c r="AA27">
        <v>497</v>
      </c>
      <c r="AB27">
        <v>304</v>
      </c>
    </row>
    <row r="28" spans="1:28" ht="14.25" x14ac:dyDescent="0.2">
      <c r="C28" s="35" t="s">
        <v>158</v>
      </c>
      <c r="D28" s="3"/>
      <c r="E28" s="139">
        <v>423.34</v>
      </c>
      <c r="F28" s="139">
        <v>7.73</v>
      </c>
      <c r="G28" s="140"/>
      <c r="H28" s="140"/>
      <c r="I28" s="140">
        <v>8</v>
      </c>
      <c r="J28" s="139">
        <v>0.625</v>
      </c>
      <c r="K28" s="139">
        <v>0.625</v>
      </c>
    </row>
    <row r="29" spans="1:28" x14ac:dyDescent="0.2">
      <c r="C29" s="20" t="s">
        <v>89</v>
      </c>
      <c r="D29" s="37">
        <v>128</v>
      </c>
      <c r="E29" s="144">
        <v>496.59264000000002</v>
      </c>
      <c r="F29" s="37" t="s">
        <v>330</v>
      </c>
      <c r="G29" s="143">
        <v>497</v>
      </c>
      <c r="H29" s="37" t="s">
        <v>331</v>
      </c>
      <c r="I29" s="37"/>
      <c r="J29" s="37"/>
      <c r="K29" s="37"/>
    </row>
    <row r="30" spans="1:28" x14ac:dyDescent="0.2">
      <c r="C30" s="20" t="s">
        <v>92</v>
      </c>
      <c r="D30" s="37">
        <v>83</v>
      </c>
      <c r="E30" s="144">
        <v>304.11988500000001</v>
      </c>
      <c r="F30" s="37" t="s">
        <v>332</v>
      </c>
      <c r="G30" s="143">
        <v>304</v>
      </c>
      <c r="H30" s="37" t="s">
        <v>333</v>
      </c>
      <c r="I30" s="37"/>
      <c r="J30" s="37"/>
      <c r="K30" s="37"/>
    </row>
    <row r="31" spans="1:28" x14ac:dyDescent="0.2">
      <c r="C31" s="20" t="s">
        <v>95</v>
      </c>
      <c r="D31" s="37"/>
      <c r="E31" s="144">
        <v>1538.392525</v>
      </c>
      <c r="F31" s="37"/>
      <c r="G31" s="143">
        <v>1538</v>
      </c>
      <c r="H31" s="37"/>
      <c r="I31" s="37"/>
      <c r="J31" s="37"/>
      <c r="K31" s="37"/>
    </row>
    <row r="32" spans="1:28" ht="99.75" x14ac:dyDescent="0.2">
      <c r="A32" s="149" t="s">
        <v>96</v>
      </c>
      <c r="B32" s="149" t="s">
        <v>2063</v>
      </c>
      <c r="C32" s="145" t="s">
        <v>516</v>
      </c>
      <c r="D32" s="3">
        <v>1</v>
      </c>
      <c r="E32" s="141">
        <v>31464.83</v>
      </c>
      <c r="F32" s="141">
        <v>0</v>
      </c>
      <c r="G32" s="140">
        <v>31465</v>
      </c>
      <c r="H32" s="140">
        <v>0</v>
      </c>
      <c r="I32" s="142">
        <v>0</v>
      </c>
      <c r="J32" s="141">
        <v>0</v>
      </c>
      <c r="K32" s="141">
        <v>0</v>
      </c>
      <c r="T32">
        <v>31465</v>
      </c>
      <c r="U32">
        <v>31465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ht="14.25" x14ac:dyDescent="0.2">
      <c r="C33" s="35" t="s">
        <v>158</v>
      </c>
      <c r="D33" s="3"/>
      <c r="E33" s="139">
        <v>0</v>
      </c>
      <c r="F33" s="139">
        <v>0</v>
      </c>
      <c r="G33" s="140"/>
      <c r="H33" s="140"/>
      <c r="I33" s="140">
        <v>0</v>
      </c>
      <c r="J33" s="139">
        <v>0</v>
      </c>
      <c r="K33" s="139">
        <v>0</v>
      </c>
    </row>
    <row r="34" spans="1:28" ht="99.75" x14ac:dyDescent="0.2">
      <c r="A34" s="149" t="s">
        <v>100</v>
      </c>
      <c r="B34" s="149" t="s">
        <v>2037</v>
      </c>
      <c r="C34" s="145" t="s">
        <v>2038</v>
      </c>
      <c r="D34" s="3">
        <v>1</v>
      </c>
      <c r="E34" s="141">
        <v>13.54</v>
      </c>
      <c r="F34" s="141">
        <v>1.88</v>
      </c>
      <c r="G34" s="140">
        <v>14</v>
      </c>
      <c r="H34" s="140">
        <v>11</v>
      </c>
      <c r="I34" s="142">
        <v>2</v>
      </c>
      <c r="J34" s="141">
        <v>1.03</v>
      </c>
      <c r="K34" s="141">
        <v>1.03</v>
      </c>
      <c r="T34">
        <v>30</v>
      </c>
      <c r="U34">
        <v>1</v>
      </c>
      <c r="V34">
        <v>11</v>
      </c>
      <c r="W34">
        <v>2</v>
      </c>
      <c r="X34">
        <v>0</v>
      </c>
      <c r="Y34">
        <v>1.03</v>
      </c>
      <c r="Z34">
        <v>0.01</v>
      </c>
      <c r="AA34">
        <v>9</v>
      </c>
      <c r="AB34">
        <v>7</v>
      </c>
    </row>
    <row r="35" spans="1:28" ht="14.25" x14ac:dyDescent="0.2">
      <c r="C35" s="35" t="s">
        <v>2039</v>
      </c>
      <c r="D35" s="3"/>
      <c r="E35" s="139">
        <v>10.82</v>
      </c>
      <c r="F35" s="139">
        <v>0.12</v>
      </c>
      <c r="G35" s="140"/>
      <c r="H35" s="140"/>
      <c r="I35" s="140">
        <v>0</v>
      </c>
      <c r="J35" s="139">
        <v>0.01</v>
      </c>
      <c r="K35" s="139">
        <v>0.01</v>
      </c>
    </row>
    <row r="36" spans="1:28" x14ac:dyDescent="0.2">
      <c r="C36" s="20" t="s">
        <v>89</v>
      </c>
      <c r="D36" s="37">
        <v>80</v>
      </c>
      <c r="E36" s="144">
        <v>8.7519999999999989</v>
      </c>
      <c r="F36" s="37"/>
      <c r="G36" s="143">
        <v>9</v>
      </c>
      <c r="H36" s="37" t="s">
        <v>222</v>
      </c>
      <c r="I36" s="37"/>
      <c r="J36" s="37"/>
      <c r="K36" s="37"/>
    </row>
    <row r="37" spans="1:28" x14ac:dyDescent="0.2">
      <c r="C37" s="20" t="s">
        <v>92</v>
      </c>
      <c r="D37" s="37">
        <v>60</v>
      </c>
      <c r="E37" s="144">
        <v>6.5640000000000001</v>
      </c>
      <c r="F37" s="37"/>
      <c r="G37" s="143">
        <v>7</v>
      </c>
      <c r="H37" s="37" t="s">
        <v>198</v>
      </c>
      <c r="I37" s="37"/>
      <c r="J37" s="37"/>
      <c r="K37" s="37"/>
    </row>
    <row r="38" spans="1:28" x14ac:dyDescent="0.2">
      <c r="C38" s="20" t="s">
        <v>95</v>
      </c>
      <c r="D38" s="37"/>
      <c r="E38" s="144">
        <v>28.855999999999998</v>
      </c>
      <c r="F38" s="37"/>
      <c r="G38" s="143">
        <v>30</v>
      </c>
      <c r="H38" s="37"/>
      <c r="I38" s="37"/>
      <c r="J38" s="37"/>
      <c r="K38" s="37"/>
    </row>
    <row r="39" spans="1:28" ht="14.25" x14ac:dyDescent="0.2">
      <c r="A39" s="149" t="s">
        <v>2064</v>
      </c>
      <c r="B39" s="149" t="s">
        <v>1146</v>
      </c>
      <c r="C39" s="145" t="s">
        <v>2041</v>
      </c>
      <c r="D39" s="3">
        <v>1.0999999999999999E-2</v>
      </c>
      <c r="E39" s="141">
        <v>0</v>
      </c>
      <c r="F39" s="141">
        <v>0</v>
      </c>
      <c r="G39" s="140">
        <v>0</v>
      </c>
      <c r="H39" s="140">
        <v>0</v>
      </c>
      <c r="I39" s="142">
        <v>0</v>
      </c>
      <c r="J39" s="141">
        <v>0</v>
      </c>
      <c r="K39" s="141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</row>
    <row r="40" spans="1:28" ht="14.25" x14ac:dyDescent="0.2">
      <c r="C40" s="35" t="s">
        <v>99</v>
      </c>
      <c r="D40" s="3"/>
      <c r="E40" s="139">
        <v>0</v>
      </c>
      <c r="F40" s="139">
        <v>0</v>
      </c>
      <c r="G40" s="140"/>
      <c r="H40" s="140"/>
      <c r="I40" s="140">
        <v>0</v>
      </c>
      <c r="J40" s="139">
        <v>0</v>
      </c>
      <c r="K40" s="139">
        <v>0</v>
      </c>
    </row>
    <row r="41" spans="1:28" ht="128.25" x14ac:dyDescent="0.2">
      <c r="A41" s="149" t="s">
        <v>105</v>
      </c>
      <c r="B41" s="149" t="s">
        <v>2042</v>
      </c>
      <c r="C41" s="145" t="s">
        <v>518</v>
      </c>
      <c r="D41" s="3">
        <v>1</v>
      </c>
      <c r="E41" s="141">
        <v>6423.8</v>
      </c>
      <c r="F41" s="141">
        <v>0</v>
      </c>
      <c r="G41" s="140">
        <v>6424</v>
      </c>
      <c r="H41" s="140">
        <v>0</v>
      </c>
      <c r="I41" s="142">
        <v>0</v>
      </c>
      <c r="J41" s="141">
        <v>0</v>
      </c>
      <c r="K41" s="141">
        <v>0</v>
      </c>
      <c r="T41">
        <v>6424</v>
      </c>
      <c r="U41">
        <v>6424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ht="14.25" x14ac:dyDescent="0.2">
      <c r="C42" s="35" t="s">
        <v>153</v>
      </c>
      <c r="D42" s="3"/>
      <c r="E42" s="139">
        <v>0</v>
      </c>
      <c r="F42" s="139">
        <v>0</v>
      </c>
      <c r="G42" s="140"/>
      <c r="H42" s="140"/>
      <c r="I42" s="140">
        <v>0</v>
      </c>
      <c r="J42" s="139">
        <v>0</v>
      </c>
      <c r="K42" s="139">
        <v>0</v>
      </c>
    </row>
    <row r="43" spans="1:28" ht="133.5" x14ac:dyDescent="0.2">
      <c r="A43" s="149" t="s">
        <v>106</v>
      </c>
      <c r="B43" s="149" t="s">
        <v>2043</v>
      </c>
      <c r="C43" s="145" t="s">
        <v>1910</v>
      </c>
      <c r="D43" s="3">
        <v>1</v>
      </c>
      <c r="E43" s="141">
        <v>28.99</v>
      </c>
      <c r="F43" s="141">
        <v>2.39</v>
      </c>
      <c r="G43" s="140">
        <v>29</v>
      </c>
      <c r="H43" s="140">
        <v>17</v>
      </c>
      <c r="I43" s="142">
        <v>2</v>
      </c>
      <c r="J43" s="141">
        <v>1.8399999999999999</v>
      </c>
      <c r="K43" s="141">
        <v>1.8399999999999999</v>
      </c>
      <c r="T43">
        <v>61</v>
      </c>
      <c r="U43">
        <v>10</v>
      </c>
      <c r="V43">
        <v>17</v>
      </c>
      <c r="W43">
        <v>2</v>
      </c>
      <c r="X43">
        <v>0</v>
      </c>
      <c r="Y43">
        <v>1.8399999999999999</v>
      </c>
      <c r="Z43">
        <v>1.2500000000000001E-2</v>
      </c>
      <c r="AA43">
        <v>20</v>
      </c>
      <c r="AB43">
        <v>12</v>
      </c>
    </row>
    <row r="44" spans="1:28" ht="14.25" x14ac:dyDescent="0.2">
      <c r="C44" s="35" t="s">
        <v>158</v>
      </c>
      <c r="D44" s="3"/>
      <c r="E44" s="139">
        <v>16.5</v>
      </c>
      <c r="F44" s="139">
        <v>0.15</v>
      </c>
      <c r="G44" s="140"/>
      <c r="H44" s="140"/>
      <c r="I44" s="140">
        <v>0</v>
      </c>
      <c r="J44" s="139">
        <v>1.2500000000000001E-2</v>
      </c>
      <c r="K44" s="139">
        <v>1.2500000000000001E-2</v>
      </c>
    </row>
    <row r="45" spans="1:28" x14ac:dyDescent="0.2">
      <c r="C45" s="20" t="s">
        <v>89</v>
      </c>
      <c r="D45" s="37">
        <v>128</v>
      </c>
      <c r="E45" s="144">
        <v>19.180799999999998</v>
      </c>
      <c r="F45" s="37" t="s">
        <v>330</v>
      </c>
      <c r="G45" s="143">
        <v>20</v>
      </c>
      <c r="H45" s="37" t="s">
        <v>331</v>
      </c>
      <c r="I45" s="37"/>
      <c r="J45" s="37"/>
      <c r="K45" s="37"/>
    </row>
    <row r="46" spans="1:28" x14ac:dyDescent="0.2">
      <c r="C46" s="20" t="s">
        <v>92</v>
      </c>
      <c r="D46" s="37">
        <v>83</v>
      </c>
      <c r="E46" s="144">
        <v>11.746574999999998</v>
      </c>
      <c r="F46" s="37" t="s">
        <v>332</v>
      </c>
      <c r="G46" s="143">
        <v>12</v>
      </c>
      <c r="H46" s="37" t="s">
        <v>333</v>
      </c>
      <c r="I46" s="37"/>
      <c r="J46" s="37"/>
      <c r="K46" s="37"/>
    </row>
    <row r="47" spans="1:28" x14ac:dyDescent="0.2">
      <c r="C47" s="20" t="s">
        <v>95</v>
      </c>
      <c r="D47" s="37"/>
      <c r="E47" s="144">
        <v>59.917374999999993</v>
      </c>
      <c r="F47" s="37"/>
      <c r="G47" s="143">
        <v>61</v>
      </c>
      <c r="H47" s="37"/>
      <c r="I47" s="37"/>
      <c r="J47" s="37"/>
      <c r="K47" s="37"/>
    </row>
    <row r="48" spans="1:28" ht="28.5" x14ac:dyDescent="0.2">
      <c r="A48" s="149" t="s">
        <v>111</v>
      </c>
      <c r="B48" s="149" t="s">
        <v>1146</v>
      </c>
      <c r="C48" s="145" t="s">
        <v>519</v>
      </c>
      <c r="D48" s="3">
        <v>1</v>
      </c>
      <c r="E48" s="141">
        <v>0</v>
      </c>
      <c r="F48" s="141">
        <v>0</v>
      </c>
      <c r="G48" s="140">
        <v>0</v>
      </c>
      <c r="H48" s="140">
        <v>0</v>
      </c>
      <c r="I48" s="142">
        <v>0</v>
      </c>
      <c r="J48" s="141">
        <v>0</v>
      </c>
      <c r="K48" s="141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</row>
    <row r="49" spans="1:28" ht="14.25" x14ac:dyDescent="0.2">
      <c r="C49" s="35" t="s">
        <v>158</v>
      </c>
      <c r="D49" s="3"/>
      <c r="E49" s="139">
        <v>0</v>
      </c>
      <c r="F49" s="139">
        <v>0</v>
      </c>
      <c r="G49" s="140"/>
      <c r="H49" s="140"/>
      <c r="I49" s="140">
        <v>0</v>
      </c>
      <c r="J49" s="139">
        <v>0</v>
      </c>
      <c r="K49" s="139">
        <v>0</v>
      </c>
    </row>
    <row r="50" spans="1:28" ht="99.75" x14ac:dyDescent="0.2">
      <c r="A50" s="149" t="s">
        <v>112</v>
      </c>
      <c r="B50" s="149" t="s">
        <v>2044</v>
      </c>
      <c r="C50" s="145" t="s">
        <v>2045</v>
      </c>
      <c r="D50" s="3">
        <v>1</v>
      </c>
      <c r="E50" s="141">
        <v>2536.66</v>
      </c>
      <c r="F50" s="141">
        <v>0</v>
      </c>
      <c r="G50" s="140">
        <v>2537</v>
      </c>
      <c r="H50" s="140">
        <v>0</v>
      </c>
      <c r="I50" s="142">
        <v>0</v>
      </c>
      <c r="J50" s="141">
        <v>0</v>
      </c>
      <c r="K50" s="141">
        <v>0</v>
      </c>
      <c r="T50">
        <v>2537</v>
      </c>
      <c r="U50">
        <v>2537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ht="14.25" x14ac:dyDescent="0.2">
      <c r="C51" s="35" t="s">
        <v>158</v>
      </c>
      <c r="D51" s="3"/>
      <c r="E51" s="139">
        <v>0</v>
      </c>
      <c r="F51" s="139">
        <v>0</v>
      </c>
      <c r="G51" s="140"/>
      <c r="H51" s="140"/>
      <c r="I51" s="140">
        <v>0</v>
      </c>
      <c r="J51" s="139">
        <v>0</v>
      </c>
      <c r="K51" s="139">
        <v>0</v>
      </c>
    </row>
    <row r="52" spans="1:28" ht="105" x14ac:dyDescent="0.2">
      <c r="A52" s="149" t="s">
        <v>114</v>
      </c>
      <c r="B52" s="149" t="s">
        <v>2046</v>
      </c>
      <c r="C52" s="145" t="s">
        <v>1915</v>
      </c>
      <c r="D52" s="3">
        <v>0.3</v>
      </c>
      <c r="E52" s="141">
        <v>63.95</v>
      </c>
      <c r="F52" s="141">
        <v>0.87</v>
      </c>
      <c r="G52" s="140">
        <v>19</v>
      </c>
      <c r="H52" s="140">
        <v>18</v>
      </c>
      <c r="I52" s="142">
        <v>0</v>
      </c>
      <c r="J52" s="141">
        <v>6.9431250000000002</v>
      </c>
      <c r="K52" s="141">
        <v>2.0829374999999999</v>
      </c>
      <c r="T52">
        <v>53</v>
      </c>
      <c r="U52">
        <v>1</v>
      </c>
      <c r="V52">
        <v>18</v>
      </c>
      <c r="W52">
        <v>0</v>
      </c>
      <c r="X52">
        <v>0</v>
      </c>
      <c r="Y52">
        <v>2.0829374999999999</v>
      </c>
      <c r="Z52">
        <v>3.9375E-3</v>
      </c>
      <c r="AA52">
        <v>21</v>
      </c>
      <c r="AB52">
        <v>13</v>
      </c>
    </row>
    <row r="53" spans="1:28" ht="14.25" x14ac:dyDescent="0.2">
      <c r="C53" s="35" t="s">
        <v>117</v>
      </c>
      <c r="D53" s="3"/>
      <c r="E53" s="139">
        <v>60.69</v>
      </c>
      <c r="F53" s="139">
        <v>0.16</v>
      </c>
      <c r="G53" s="140"/>
      <c r="H53" s="140"/>
      <c r="I53" s="140">
        <v>0</v>
      </c>
      <c r="J53" s="139">
        <v>1.3125000000000001E-2</v>
      </c>
      <c r="K53" s="139">
        <v>3.9375E-3</v>
      </c>
    </row>
    <row r="54" spans="1:28" x14ac:dyDescent="0.2">
      <c r="C54" s="36" t="s">
        <v>2065</v>
      </c>
    </row>
    <row r="55" spans="1:28" x14ac:dyDescent="0.2">
      <c r="C55" s="20" t="s">
        <v>89</v>
      </c>
      <c r="D55" s="37">
        <v>128</v>
      </c>
      <c r="E55" s="144">
        <v>70.099199999999996</v>
      </c>
      <c r="F55" s="37" t="s">
        <v>330</v>
      </c>
      <c r="G55" s="143">
        <v>21</v>
      </c>
      <c r="H55" s="37" t="s">
        <v>331</v>
      </c>
      <c r="I55" s="37"/>
      <c r="J55" s="37"/>
      <c r="K55" s="37"/>
    </row>
    <row r="56" spans="1:28" x14ac:dyDescent="0.2">
      <c r="C56" s="20" t="s">
        <v>92</v>
      </c>
      <c r="D56" s="37">
        <v>83</v>
      </c>
      <c r="E56" s="144">
        <v>42.929674999999996</v>
      </c>
      <c r="F56" s="37" t="s">
        <v>332</v>
      </c>
      <c r="G56" s="143">
        <v>13</v>
      </c>
      <c r="H56" s="37" t="s">
        <v>333</v>
      </c>
      <c r="I56" s="37"/>
      <c r="J56" s="37"/>
      <c r="K56" s="37"/>
    </row>
    <row r="57" spans="1:28" x14ac:dyDescent="0.2">
      <c r="C57" s="20" t="s">
        <v>95</v>
      </c>
      <c r="D57" s="37"/>
      <c r="E57" s="144">
        <v>176.97887500000002</v>
      </c>
      <c r="F57" s="37"/>
      <c r="G57" s="143">
        <v>53</v>
      </c>
      <c r="H57" s="37"/>
      <c r="I57" s="37"/>
      <c r="J57" s="37"/>
      <c r="K57" s="37"/>
    </row>
    <row r="58" spans="1:28" ht="14.25" x14ac:dyDescent="0.2">
      <c r="A58" s="149" t="s">
        <v>521</v>
      </c>
      <c r="B58" s="149" t="s">
        <v>1146</v>
      </c>
      <c r="C58" s="145" t="s">
        <v>522</v>
      </c>
      <c r="D58" s="3">
        <v>0.3</v>
      </c>
      <c r="E58" s="141">
        <v>0</v>
      </c>
      <c r="F58" s="141">
        <v>0</v>
      </c>
      <c r="G58" s="140">
        <v>0</v>
      </c>
      <c r="H58" s="140">
        <v>0</v>
      </c>
      <c r="I58" s="142">
        <v>0</v>
      </c>
      <c r="J58" s="141">
        <v>0</v>
      </c>
      <c r="K58" s="141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</row>
    <row r="59" spans="1:28" ht="14.25" x14ac:dyDescent="0.2">
      <c r="C59" s="35" t="s">
        <v>117</v>
      </c>
      <c r="D59" s="3"/>
      <c r="E59" s="139">
        <v>0</v>
      </c>
      <c r="F59" s="139">
        <v>0</v>
      </c>
      <c r="G59" s="140"/>
      <c r="H59" s="140"/>
      <c r="I59" s="140">
        <v>0</v>
      </c>
      <c r="J59" s="139">
        <v>0</v>
      </c>
      <c r="K59" s="139">
        <v>0</v>
      </c>
    </row>
    <row r="60" spans="1:28" ht="99.75" x14ac:dyDescent="0.2">
      <c r="A60" s="149" t="s">
        <v>115</v>
      </c>
      <c r="B60" s="149" t="s">
        <v>2047</v>
      </c>
      <c r="C60" s="145" t="s">
        <v>523</v>
      </c>
      <c r="D60" s="3">
        <v>2</v>
      </c>
      <c r="E60" s="141">
        <v>158.43</v>
      </c>
      <c r="F60" s="141">
        <v>0</v>
      </c>
      <c r="G60" s="140">
        <v>317</v>
      </c>
      <c r="H60" s="140">
        <v>0</v>
      </c>
      <c r="I60" s="142">
        <v>0</v>
      </c>
      <c r="J60" s="141">
        <v>0</v>
      </c>
      <c r="K60" s="141">
        <v>0</v>
      </c>
      <c r="T60">
        <v>317</v>
      </c>
      <c r="U60">
        <v>317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</row>
    <row r="61" spans="1:28" ht="14.25" x14ac:dyDescent="0.2">
      <c r="C61" s="35" t="s">
        <v>158</v>
      </c>
      <c r="D61" s="3"/>
      <c r="E61" s="139">
        <v>0</v>
      </c>
      <c r="F61" s="139">
        <v>0</v>
      </c>
      <c r="G61" s="140"/>
      <c r="H61" s="140"/>
      <c r="I61" s="140">
        <v>0</v>
      </c>
      <c r="J61" s="139">
        <v>0</v>
      </c>
      <c r="K61" s="139">
        <v>0</v>
      </c>
    </row>
    <row r="62" spans="1:28" ht="99.75" x14ac:dyDescent="0.2">
      <c r="A62" s="149" t="s">
        <v>116</v>
      </c>
      <c r="B62" s="149" t="s">
        <v>1636</v>
      </c>
      <c r="C62" s="145" t="s">
        <v>517</v>
      </c>
      <c r="D62" s="3">
        <v>4</v>
      </c>
      <c r="E62" s="141">
        <v>11.53</v>
      </c>
      <c r="F62" s="141">
        <v>0</v>
      </c>
      <c r="G62" s="140">
        <v>46</v>
      </c>
      <c r="H62" s="140">
        <v>41</v>
      </c>
      <c r="I62" s="142">
        <v>0</v>
      </c>
      <c r="J62" s="141">
        <v>1.03</v>
      </c>
      <c r="K62" s="141">
        <v>4.12</v>
      </c>
      <c r="T62">
        <v>104</v>
      </c>
      <c r="U62">
        <v>5</v>
      </c>
      <c r="V62">
        <v>41</v>
      </c>
      <c r="W62">
        <v>0</v>
      </c>
      <c r="X62">
        <v>0</v>
      </c>
      <c r="Y62">
        <v>4.12</v>
      </c>
      <c r="Z62">
        <v>0</v>
      </c>
      <c r="AA62">
        <v>33</v>
      </c>
      <c r="AB62">
        <v>25</v>
      </c>
    </row>
    <row r="63" spans="1:28" ht="14.25" x14ac:dyDescent="0.2">
      <c r="C63" s="35" t="s">
        <v>158</v>
      </c>
      <c r="D63" s="3"/>
      <c r="E63" s="139">
        <v>10.220000000000001</v>
      </c>
      <c r="F63" s="139">
        <v>0</v>
      </c>
      <c r="G63" s="140"/>
      <c r="H63" s="140"/>
      <c r="I63" s="140">
        <v>0</v>
      </c>
      <c r="J63" s="139">
        <v>0</v>
      </c>
      <c r="K63" s="139">
        <v>0</v>
      </c>
    </row>
    <row r="64" spans="1:28" x14ac:dyDescent="0.2">
      <c r="C64" s="36" t="s">
        <v>524</v>
      </c>
    </row>
    <row r="65" spans="1:28" x14ac:dyDescent="0.2">
      <c r="C65" s="20" t="s">
        <v>89</v>
      </c>
      <c r="D65" s="37">
        <v>80</v>
      </c>
      <c r="E65" s="144">
        <v>8.1760000000000002</v>
      </c>
      <c r="F65" s="37"/>
      <c r="G65" s="143">
        <v>33</v>
      </c>
      <c r="H65" s="37" t="s">
        <v>222</v>
      </c>
      <c r="I65" s="37"/>
      <c r="J65" s="37"/>
      <c r="K65" s="37"/>
    </row>
    <row r="66" spans="1:28" x14ac:dyDescent="0.2">
      <c r="C66" s="20" t="s">
        <v>92</v>
      </c>
      <c r="D66" s="37">
        <v>60</v>
      </c>
      <c r="E66" s="144">
        <v>6.1320000000000006</v>
      </c>
      <c r="F66" s="37"/>
      <c r="G66" s="143">
        <v>25</v>
      </c>
      <c r="H66" s="37" t="s">
        <v>198</v>
      </c>
      <c r="I66" s="37"/>
      <c r="J66" s="37"/>
      <c r="K66" s="37"/>
    </row>
    <row r="67" spans="1:28" x14ac:dyDescent="0.2">
      <c r="C67" s="20" t="s">
        <v>95</v>
      </c>
      <c r="D67" s="37"/>
      <c r="E67" s="144">
        <v>25.838000000000001</v>
      </c>
      <c r="F67" s="37"/>
      <c r="G67" s="143">
        <v>104</v>
      </c>
      <c r="H67" s="37"/>
      <c r="I67" s="37"/>
      <c r="J67" s="37"/>
      <c r="K67" s="37"/>
    </row>
    <row r="68" spans="1:28" ht="99.75" x14ac:dyDescent="0.2">
      <c r="A68" s="149" t="s">
        <v>118</v>
      </c>
      <c r="B68" s="149" t="s">
        <v>2048</v>
      </c>
      <c r="C68" s="145" t="s">
        <v>2049</v>
      </c>
      <c r="D68" s="3">
        <v>0.1</v>
      </c>
      <c r="E68" s="141">
        <v>560.37</v>
      </c>
      <c r="F68" s="141">
        <v>0</v>
      </c>
      <c r="G68" s="140">
        <v>56</v>
      </c>
      <c r="H68" s="140">
        <v>0</v>
      </c>
      <c r="I68" s="142">
        <v>0</v>
      </c>
      <c r="J68" s="141">
        <v>0</v>
      </c>
      <c r="K68" s="141">
        <v>0</v>
      </c>
      <c r="T68">
        <v>56</v>
      </c>
      <c r="U68">
        <v>56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</row>
    <row r="69" spans="1:28" ht="14.25" x14ac:dyDescent="0.2">
      <c r="C69" s="35" t="s">
        <v>158</v>
      </c>
      <c r="D69" s="3"/>
      <c r="E69" s="139">
        <v>0</v>
      </c>
      <c r="F69" s="139">
        <v>0</v>
      </c>
      <c r="G69" s="140"/>
      <c r="H69" s="140"/>
      <c r="I69" s="140">
        <v>0</v>
      </c>
      <c r="J69" s="139">
        <v>0</v>
      </c>
      <c r="K69" s="139">
        <v>0</v>
      </c>
    </row>
    <row r="70" spans="1:28" x14ac:dyDescent="0.2">
      <c r="C70" s="36" t="s">
        <v>418</v>
      </c>
    </row>
    <row r="71" spans="1:28" ht="99.75" x14ac:dyDescent="0.2">
      <c r="A71" s="149" t="s">
        <v>119</v>
      </c>
      <c r="B71" s="149" t="s">
        <v>2050</v>
      </c>
      <c r="C71" s="145" t="s">
        <v>525</v>
      </c>
      <c r="D71" s="3">
        <v>0.1</v>
      </c>
      <c r="E71" s="141">
        <v>2921.34</v>
      </c>
      <c r="F71" s="141">
        <v>0</v>
      </c>
      <c r="G71" s="140">
        <v>292</v>
      </c>
      <c r="H71" s="140">
        <v>0</v>
      </c>
      <c r="I71" s="142">
        <v>0</v>
      </c>
      <c r="J71" s="141">
        <v>0</v>
      </c>
      <c r="K71" s="141">
        <v>0</v>
      </c>
      <c r="T71">
        <v>292</v>
      </c>
      <c r="U71">
        <v>292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</row>
    <row r="72" spans="1:28" ht="14.25" x14ac:dyDescent="0.2">
      <c r="C72" s="35" t="s">
        <v>173</v>
      </c>
      <c r="D72" s="3"/>
      <c r="E72" s="139">
        <v>0</v>
      </c>
      <c r="F72" s="139">
        <v>0</v>
      </c>
      <c r="G72" s="140"/>
      <c r="H72" s="140"/>
      <c r="I72" s="140">
        <v>0</v>
      </c>
      <c r="J72" s="139">
        <v>0</v>
      </c>
      <c r="K72" s="139">
        <v>0</v>
      </c>
    </row>
    <row r="73" spans="1:28" x14ac:dyDescent="0.2">
      <c r="C73" s="36" t="s">
        <v>418</v>
      </c>
    </row>
    <row r="74" spans="1:28" ht="99.75" x14ac:dyDescent="0.2">
      <c r="A74" s="149" t="s">
        <v>120</v>
      </c>
      <c r="B74" s="149" t="s">
        <v>2051</v>
      </c>
      <c r="C74" s="145" t="s">
        <v>526</v>
      </c>
      <c r="D74" s="3">
        <v>1</v>
      </c>
      <c r="E74" s="141">
        <v>383.44</v>
      </c>
      <c r="F74" s="141">
        <v>0</v>
      </c>
      <c r="G74" s="140">
        <v>383</v>
      </c>
      <c r="H74" s="140">
        <v>0</v>
      </c>
      <c r="I74" s="142">
        <v>0</v>
      </c>
      <c r="J74" s="141">
        <v>0</v>
      </c>
      <c r="K74" s="141">
        <v>0</v>
      </c>
      <c r="T74">
        <v>383</v>
      </c>
      <c r="U74">
        <v>383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</row>
    <row r="75" spans="1:28" ht="14.25" x14ac:dyDescent="0.2">
      <c r="C75" s="35" t="s">
        <v>158</v>
      </c>
      <c r="D75" s="3"/>
      <c r="E75" s="139">
        <v>0</v>
      </c>
      <c r="F75" s="139">
        <v>0</v>
      </c>
      <c r="G75" s="140"/>
      <c r="H75" s="140"/>
      <c r="I75" s="140">
        <v>0</v>
      </c>
      <c r="J75" s="139">
        <v>0</v>
      </c>
      <c r="K75" s="139">
        <v>0</v>
      </c>
    </row>
    <row r="76" spans="1:28" ht="39.75" x14ac:dyDescent="0.2">
      <c r="A76" s="149" t="s">
        <v>123</v>
      </c>
      <c r="B76" s="149" t="s">
        <v>1146</v>
      </c>
      <c r="C76" s="145" t="s">
        <v>1908</v>
      </c>
      <c r="D76" s="3">
        <v>1</v>
      </c>
      <c r="E76" s="141">
        <v>785.94</v>
      </c>
      <c r="F76" s="141">
        <v>0</v>
      </c>
      <c r="G76" s="140">
        <v>786</v>
      </c>
      <c r="H76" s="140">
        <v>0</v>
      </c>
      <c r="I76" s="142">
        <v>0</v>
      </c>
      <c r="J76" s="141">
        <v>0</v>
      </c>
      <c r="K76" s="141">
        <v>0</v>
      </c>
      <c r="T76">
        <v>786</v>
      </c>
      <c r="U76">
        <v>786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</row>
    <row r="77" spans="1:28" ht="14.25" x14ac:dyDescent="0.2">
      <c r="C77" s="35" t="s">
        <v>527</v>
      </c>
      <c r="D77" s="3"/>
      <c r="E77" s="139">
        <v>0</v>
      </c>
      <c r="F77" s="139">
        <v>0</v>
      </c>
      <c r="G77" s="140"/>
      <c r="H77" s="140"/>
      <c r="I77" s="140">
        <v>0</v>
      </c>
      <c r="J77" s="139">
        <v>0</v>
      </c>
      <c r="K77" s="139">
        <v>0</v>
      </c>
    </row>
    <row r="78" spans="1:28" ht="99.75" x14ac:dyDescent="0.2">
      <c r="A78" s="149" t="s">
        <v>124</v>
      </c>
      <c r="B78" s="149" t="s">
        <v>2052</v>
      </c>
      <c r="C78" s="145" t="s">
        <v>528</v>
      </c>
      <c r="D78" s="3">
        <v>1</v>
      </c>
      <c r="E78" s="141">
        <v>152.44</v>
      </c>
      <c r="F78" s="141">
        <v>9.3000000000000007</v>
      </c>
      <c r="G78" s="140">
        <v>153</v>
      </c>
      <c r="H78" s="140">
        <v>46</v>
      </c>
      <c r="I78" s="142">
        <v>9</v>
      </c>
      <c r="J78" s="141">
        <v>5.15</v>
      </c>
      <c r="K78" s="141">
        <v>5.15</v>
      </c>
      <c r="T78">
        <v>219</v>
      </c>
      <c r="U78">
        <v>98</v>
      </c>
      <c r="V78">
        <v>46</v>
      </c>
      <c r="W78">
        <v>9</v>
      </c>
      <c r="X78">
        <v>1</v>
      </c>
      <c r="Y78">
        <v>5.15</v>
      </c>
      <c r="Z78">
        <v>7.0000000000000007E-2</v>
      </c>
      <c r="AA78">
        <v>38</v>
      </c>
      <c r="AB78">
        <v>28</v>
      </c>
    </row>
    <row r="79" spans="1:28" ht="14.25" x14ac:dyDescent="0.2">
      <c r="C79" s="35" t="s">
        <v>158</v>
      </c>
      <c r="D79" s="3"/>
      <c r="E79" s="139">
        <v>45.63</v>
      </c>
      <c r="F79" s="139">
        <v>0.89</v>
      </c>
      <c r="G79" s="140"/>
      <c r="H79" s="140"/>
      <c r="I79" s="140">
        <v>1</v>
      </c>
      <c r="J79" s="139">
        <v>7.0000000000000007E-2</v>
      </c>
      <c r="K79" s="139">
        <v>7.0000000000000007E-2</v>
      </c>
    </row>
    <row r="80" spans="1:28" x14ac:dyDescent="0.2">
      <c r="C80" s="20" t="s">
        <v>89</v>
      </c>
      <c r="D80" s="37">
        <v>80</v>
      </c>
      <c r="E80" s="144">
        <v>37.216000000000001</v>
      </c>
      <c r="F80" s="37"/>
      <c r="G80" s="143">
        <v>38</v>
      </c>
      <c r="H80" s="37" t="s">
        <v>222</v>
      </c>
      <c r="I80" s="37"/>
      <c r="J80" s="37"/>
      <c r="K80" s="37"/>
    </row>
    <row r="81" spans="1:28" x14ac:dyDescent="0.2">
      <c r="C81" s="20" t="s">
        <v>92</v>
      </c>
      <c r="D81" s="37">
        <v>60</v>
      </c>
      <c r="E81" s="144">
        <v>27.912000000000003</v>
      </c>
      <c r="F81" s="37"/>
      <c r="G81" s="143">
        <v>28</v>
      </c>
      <c r="H81" s="37" t="s">
        <v>198</v>
      </c>
      <c r="I81" s="37"/>
      <c r="J81" s="37"/>
      <c r="K81" s="37"/>
    </row>
    <row r="82" spans="1:28" x14ac:dyDescent="0.2">
      <c r="C82" s="20" t="s">
        <v>95</v>
      </c>
      <c r="D82" s="37"/>
      <c r="E82" s="144">
        <v>217.56799999999998</v>
      </c>
      <c r="F82" s="37"/>
      <c r="G82" s="143">
        <v>219</v>
      </c>
      <c r="H82" s="37"/>
      <c r="I82" s="37"/>
      <c r="J82" s="37"/>
      <c r="K82" s="37"/>
    </row>
    <row r="83" spans="1:28" ht="54" x14ac:dyDescent="0.2">
      <c r="A83" s="149" t="s">
        <v>126</v>
      </c>
      <c r="B83" s="149" t="s">
        <v>1146</v>
      </c>
      <c r="C83" s="145" t="s">
        <v>1907</v>
      </c>
      <c r="D83" s="3">
        <v>1</v>
      </c>
      <c r="E83" s="141">
        <v>10436.89</v>
      </c>
      <c r="F83" s="141">
        <v>0</v>
      </c>
      <c r="G83" s="140">
        <v>10437</v>
      </c>
      <c r="H83" s="140">
        <v>0</v>
      </c>
      <c r="I83" s="142">
        <v>0</v>
      </c>
      <c r="J83" s="141">
        <v>0</v>
      </c>
      <c r="K83" s="141">
        <v>0</v>
      </c>
      <c r="T83">
        <v>10437</v>
      </c>
      <c r="U83">
        <v>10437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</row>
    <row r="84" spans="1:28" ht="14.25" x14ac:dyDescent="0.2">
      <c r="C84" s="35" t="s">
        <v>527</v>
      </c>
      <c r="D84" s="3"/>
      <c r="E84" s="139">
        <v>0</v>
      </c>
      <c r="F84" s="139">
        <v>0</v>
      </c>
      <c r="G84" s="140"/>
      <c r="H84" s="140"/>
      <c r="I84" s="140">
        <v>0</v>
      </c>
      <c r="J84" s="139">
        <v>0</v>
      </c>
      <c r="K84" s="139">
        <v>0</v>
      </c>
    </row>
    <row r="85" spans="1:28" ht="105" x14ac:dyDescent="0.2">
      <c r="A85" s="149" t="s">
        <v>135</v>
      </c>
      <c r="B85" s="149" t="s">
        <v>2053</v>
      </c>
      <c r="C85" s="145" t="s">
        <v>1906</v>
      </c>
      <c r="D85" s="3">
        <v>1</v>
      </c>
      <c r="E85" s="141">
        <v>17.62</v>
      </c>
      <c r="F85" s="141">
        <v>1.93</v>
      </c>
      <c r="G85" s="140">
        <v>18</v>
      </c>
      <c r="H85" s="140">
        <v>12</v>
      </c>
      <c r="I85" s="142">
        <v>2</v>
      </c>
      <c r="J85" s="141">
        <v>1.292025</v>
      </c>
      <c r="K85" s="141">
        <v>1.292025</v>
      </c>
      <c r="T85">
        <v>40</v>
      </c>
      <c r="U85">
        <v>4</v>
      </c>
      <c r="V85">
        <v>12</v>
      </c>
      <c r="W85">
        <v>2</v>
      </c>
      <c r="X85">
        <v>0</v>
      </c>
      <c r="Y85">
        <v>1.292025</v>
      </c>
      <c r="Z85">
        <v>1.3125000000000001E-2</v>
      </c>
      <c r="AA85">
        <v>14</v>
      </c>
      <c r="AB85">
        <v>8</v>
      </c>
    </row>
    <row r="86" spans="1:28" ht="14.25" x14ac:dyDescent="0.2">
      <c r="C86" s="35" t="s">
        <v>158</v>
      </c>
      <c r="D86" s="3"/>
      <c r="E86" s="139">
        <v>11.59</v>
      </c>
      <c r="F86" s="139">
        <v>0.16</v>
      </c>
      <c r="G86" s="140"/>
      <c r="H86" s="140"/>
      <c r="I86" s="140">
        <v>0</v>
      </c>
      <c r="J86" s="139">
        <v>1.3125000000000001E-2</v>
      </c>
      <c r="K86" s="139">
        <v>1.3125000000000001E-2</v>
      </c>
    </row>
    <row r="87" spans="1:28" x14ac:dyDescent="0.2">
      <c r="C87" s="20" t="s">
        <v>89</v>
      </c>
      <c r="D87" s="37">
        <v>128</v>
      </c>
      <c r="E87" s="144">
        <v>13.536000000000001</v>
      </c>
      <c r="F87" s="37" t="s">
        <v>330</v>
      </c>
      <c r="G87" s="143">
        <v>14</v>
      </c>
      <c r="H87" s="37" t="s">
        <v>331</v>
      </c>
      <c r="I87" s="37"/>
      <c r="J87" s="37"/>
      <c r="K87" s="37"/>
    </row>
    <row r="88" spans="1:28" x14ac:dyDescent="0.2">
      <c r="C88" s="20" t="s">
        <v>92</v>
      </c>
      <c r="D88" s="37">
        <v>83</v>
      </c>
      <c r="E88" s="144">
        <v>8.2896249999999991</v>
      </c>
      <c r="F88" s="37" t="s">
        <v>332</v>
      </c>
      <c r="G88" s="143">
        <v>8</v>
      </c>
      <c r="H88" s="37" t="s">
        <v>333</v>
      </c>
      <c r="I88" s="37"/>
      <c r="J88" s="37"/>
      <c r="K88" s="37"/>
    </row>
    <row r="89" spans="1:28" x14ac:dyDescent="0.2">
      <c r="C89" s="20" t="s">
        <v>95</v>
      </c>
      <c r="D89" s="37"/>
      <c r="E89" s="144">
        <v>39.445625000000007</v>
      </c>
      <c r="F89" s="37"/>
      <c r="G89" s="143">
        <v>40</v>
      </c>
      <c r="H89" s="37"/>
      <c r="I89" s="37"/>
      <c r="J89" s="37"/>
      <c r="K89" s="37"/>
    </row>
    <row r="90" spans="1:28" ht="14.25" x14ac:dyDescent="0.2">
      <c r="A90" s="149" t="s">
        <v>137</v>
      </c>
      <c r="B90" s="149" t="s">
        <v>1146</v>
      </c>
      <c r="C90" s="145" t="s">
        <v>530</v>
      </c>
      <c r="D90" s="3">
        <v>1</v>
      </c>
      <c r="E90" s="141">
        <v>0</v>
      </c>
      <c r="F90" s="141">
        <v>0</v>
      </c>
      <c r="G90" s="140">
        <v>0</v>
      </c>
      <c r="H90" s="140">
        <v>0</v>
      </c>
      <c r="I90" s="142">
        <v>0</v>
      </c>
      <c r="J90" s="141">
        <v>0</v>
      </c>
      <c r="K90" s="141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</row>
    <row r="91" spans="1:28" ht="14.25" x14ac:dyDescent="0.2">
      <c r="C91" s="35" t="s">
        <v>158</v>
      </c>
      <c r="D91" s="3"/>
      <c r="E91" s="139">
        <v>0</v>
      </c>
      <c r="F91" s="139">
        <v>0</v>
      </c>
      <c r="G91" s="140"/>
      <c r="H91" s="140"/>
      <c r="I91" s="140">
        <v>0</v>
      </c>
      <c r="J91" s="139">
        <v>0</v>
      </c>
      <c r="K91" s="139">
        <v>0</v>
      </c>
    </row>
    <row r="92" spans="1:28" ht="99.75" x14ac:dyDescent="0.2">
      <c r="A92" s="149" t="s">
        <v>138</v>
      </c>
      <c r="B92" s="149" t="s">
        <v>2054</v>
      </c>
      <c r="C92" s="145" t="s">
        <v>531</v>
      </c>
      <c r="D92" s="3">
        <v>2.9999999999999997E-4</v>
      </c>
      <c r="E92" s="141">
        <v>485.9</v>
      </c>
      <c r="F92" s="141">
        <v>0</v>
      </c>
      <c r="G92" s="140">
        <v>0</v>
      </c>
      <c r="H92" s="140">
        <v>0</v>
      </c>
      <c r="I92" s="142">
        <v>0</v>
      </c>
      <c r="J92" s="141">
        <v>0</v>
      </c>
      <c r="K92" s="141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</row>
    <row r="93" spans="1:28" ht="14.25" x14ac:dyDescent="0.2">
      <c r="C93" s="35" t="s">
        <v>88</v>
      </c>
      <c r="D93" s="3"/>
      <c r="E93" s="139">
        <v>0</v>
      </c>
      <c r="F93" s="139">
        <v>0</v>
      </c>
      <c r="G93" s="140"/>
      <c r="H93" s="140"/>
      <c r="I93" s="140">
        <v>0</v>
      </c>
      <c r="J93" s="139">
        <v>0</v>
      </c>
      <c r="K93" s="139">
        <v>0</v>
      </c>
    </row>
    <row r="94" spans="1:28" ht="99.75" x14ac:dyDescent="0.2">
      <c r="A94" s="149" t="s">
        <v>139</v>
      </c>
      <c r="B94" s="149" t="s">
        <v>2055</v>
      </c>
      <c r="C94" s="145" t="s">
        <v>532</v>
      </c>
      <c r="D94" s="3">
        <v>1</v>
      </c>
      <c r="E94" s="141">
        <v>170.16</v>
      </c>
      <c r="F94" s="141">
        <v>0</v>
      </c>
      <c r="G94" s="140">
        <v>170</v>
      </c>
      <c r="H94" s="140">
        <v>0</v>
      </c>
      <c r="I94" s="142">
        <v>0</v>
      </c>
      <c r="J94" s="141">
        <v>0</v>
      </c>
      <c r="K94" s="141">
        <v>0</v>
      </c>
      <c r="T94">
        <v>170</v>
      </c>
      <c r="U94">
        <v>170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</row>
    <row r="95" spans="1:28" ht="14.25" x14ac:dyDescent="0.2">
      <c r="C95" s="35" t="s">
        <v>158</v>
      </c>
      <c r="D95" s="3"/>
      <c r="E95" s="139">
        <v>0</v>
      </c>
      <c r="F95" s="139">
        <v>0</v>
      </c>
      <c r="G95" s="140"/>
      <c r="H95" s="140"/>
      <c r="I95" s="140">
        <v>0</v>
      </c>
      <c r="J95" s="139">
        <v>0</v>
      </c>
      <c r="K95" s="139">
        <v>0</v>
      </c>
    </row>
    <row r="96" spans="1:28" ht="119.25" x14ac:dyDescent="0.2">
      <c r="A96" s="149" t="s">
        <v>140</v>
      </c>
      <c r="B96" s="149" t="s">
        <v>2000</v>
      </c>
      <c r="C96" s="145" t="s">
        <v>1914</v>
      </c>
      <c r="D96" s="3">
        <v>8</v>
      </c>
      <c r="E96" s="141">
        <v>77.86</v>
      </c>
      <c r="F96" s="141">
        <v>1.93</v>
      </c>
      <c r="G96" s="140">
        <v>623</v>
      </c>
      <c r="H96" s="140">
        <v>93</v>
      </c>
      <c r="I96" s="142">
        <v>15</v>
      </c>
      <c r="J96" s="141">
        <v>1.292025</v>
      </c>
      <c r="K96" s="141">
        <v>10.3362</v>
      </c>
      <c r="T96">
        <v>797</v>
      </c>
      <c r="U96">
        <v>515</v>
      </c>
      <c r="V96">
        <v>93</v>
      </c>
      <c r="W96">
        <v>15</v>
      </c>
      <c r="X96">
        <v>1</v>
      </c>
      <c r="Y96">
        <v>10.3362</v>
      </c>
      <c r="Z96">
        <v>0.10500000000000001</v>
      </c>
      <c r="AA96">
        <v>108</v>
      </c>
      <c r="AB96">
        <v>66</v>
      </c>
    </row>
    <row r="97" spans="1:28" ht="14.25" x14ac:dyDescent="0.2">
      <c r="C97" s="35" t="s">
        <v>158</v>
      </c>
      <c r="D97" s="3"/>
      <c r="E97" s="139">
        <v>11.59</v>
      </c>
      <c r="F97" s="139">
        <v>0.16</v>
      </c>
      <c r="G97" s="140"/>
      <c r="H97" s="140"/>
      <c r="I97" s="140">
        <v>1</v>
      </c>
      <c r="J97" s="139">
        <v>1.3125000000000001E-2</v>
      </c>
      <c r="K97" s="139">
        <v>0.10500000000000001</v>
      </c>
    </row>
    <row r="98" spans="1:28" x14ac:dyDescent="0.2">
      <c r="C98" s="20" t="s">
        <v>89</v>
      </c>
      <c r="D98" s="37">
        <v>128</v>
      </c>
      <c r="E98" s="144">
        <v>13.536000000000001</v>
      </c>
      <c r="F98" s="37" t="s">
        <v>330</v>
      </c>
      <c r="G98" s="143">
        <v>108</v>
      </c>
      <c r="H98" s="37" t="s">
        <v>331</v>
      </c>
      <c r="I98" s="37"/>
      <c r="J98" s="37"/>
      <c r="K98" s="37"/>
    </row>
    <row r="99" spans="1:28" x14ac:dyDescent="0.2">
      <c r="C99" s="20" t="s">
        <v>92</v>
      </c>
      <c r="D99" s="37">
        <v>83</v>
      </c>
      <c r="E99" s="144">
        <v>8.2896249999999991</v>
      </c>
      <c r="F99" s="37" t="s">
        <v>332</v>
      </c>
      <c r="G99" s="143">
        <v>66</v>
      </c>
      <c r="H99" s="37" t="s">
        <v>333</v>
      </c>
      <c r="I99" s="37"/>
      <c r="J99" s="37"/>
      <c r="K99" s="37"/>
    </row>
    <row r="100" spans="1:28" x14ac:dyDescent="0.2">
      <c r="C100" s="20" t="s">
        <v>95</v>
      </c>
      <c r="D100" s="37"/>
      <c r="E100" s="144">
        <v>99.685625000000002</v>
      </c>
      <c r="F100" s="37"/>
      <c r="G100" s="143">
        <v>797</v>
      </c>
      <c r="H100" s="37"/>
      <c r="I100" s="37"/>
      <c r="J100" s="37"/>
      <c r="K100" s="37"/>
    </row>
    <row r="101" spans="1:28" ht="133.5" x14ac:dyDescent="0.2">
      <c r="A101" s="149" t="s">
        <v>141</v>
      </c>
      <c r="B101" s="149" t="s">
        <v>2056</v>
      </c>
      <c r="C101" s="145" t="s">
        <v>1913</v>
      </c>
      <c r="D101" s="3">
        <v>2.1999999999999999E-2</v>
      </c>
      <c r="E101" s="141">
        <v>1791.4</v>
      </c>
      <c r="F101" s="141">
        <v>114.96</v>
      </c>
      <c r="G101" s="140">
        <v>40</v>
      </c>
      <c r="H101" s="140">
        <v>28</v>
      </c>
      <c r="I101" s="142">
        <v>3</v>
      </c>
      <c r="J101" s="141">
        <v>147.315</v>
      </c>
      <c r="K101" s="141">
        <v>3.2409299999999996</v>
      </c>
      <c r="T101">
        <v>92</v>
      </c>
      <c r="U101">
        <v>9</v>
      </c>
      <c r="V101">
        <v>28</v>
      </c>
      <c r="W101">
        <v>3</v>
      </c>
      <c r="X101">
        <v>0</v>
      </c>
      <c r="Y101">
        <v>3.2409299999999996</v>
      </c>
      <c r="Z101">
        <v>2.5121249999999998E-2</v>
      </c>
      <c r="AA101">
        <v>32</v>
      </c>
      <c r="AB101">
        <v>20</v>
      </c>
    </row>
    <row r="102" spans="1:28" ht="14.25" x14ac:dyDescent="0.2">
      <c r="C102" s="35" t="s">
        <v>97</v>
      </c>
      <c r="D102" s="3"/>
      <c r="E102" s="139">
        <v>1287.53</v>
      </c>
      <c r="F102" s="139">
        <v>14.12</v>
      </c>
      <c r="G102" s="140"/>
      <c r="H102" s="140"/>
      <c r="I102" s="140">
        <v>0</v>
      </c>
      <c r="J102" s="139">
        <v>1.141875</v>
      </c>
      <c r="K102" s="139">
        <v>2.5121249999999998E-2</v>
      </c>
    </row>
    <row r="103" spans="1:28" x14ac:dyDescent="0.2">
      <c r="C103" s="36" t="s">
        <v>533</v>
      </c>
    </row>
    <row r="104" spans="1:28" x14ac:dyDescent="0.2">
      <c r="C104" s="20" t="s">
        <v>89</v>
      </c>
      <c r="D104" s="37">
        <v>128</v>
      </c>
      <c r="E104" s="144">
        <v>1499.5007999999998</v>
      </c>
      <c r="F104" s="37" t="s">
        <v>330</v>
      </c>
      <c r="G104" s="143">
        <v>32</v>
      </c>
      <c r="H104" s="37" t="s">
        <v>331</v>
      </c>
      <c r="I104" s="37"/>
      <c r="J104" s="37"/>
      <c r="K104" s="37"/>
    </row>
    <row r="105" spans="1:28" x14ac:dyDescent="0.2">
      <c r="C105" s="20" t="s">
        <v>92</v>
      </c>
      <c r="D105" s="37">
        <v>83</v>
      </c>
      <c r="E105" s="144">
        <v>918.31407499999989</v>
      </c>
      <c r="F105" s="37" t="s">
        <v>332</v>
      </c>
      <c r="G105" s="143">
        <v>20</v>
      </c>
      <c r="H105" s="37" t="s">
        <v>333</v>
      </c>
      <c r="I105" s="37"/>
      <c r="J105" s="37"/>
      <c r="K105" s="37"/>
    </row>
    <row r="106" spans="1:28" x14ac:dyDescent="0.2">
      <c r="C106" s="20" t="s">
        <v>95</v>
      </c>
      <c r="D106" s="37"/>
      <c r="E106" s="144">
        <v>4209.2148749999997</v>
      </c>
      <c r="F106" s="37"/>
      <c r="G106" s="143">
        <v>92</v>
      </c>
      <c r="H106" s="37"/>
      <c r="I106" s="37"/>
      <c r="J106" s="37"/>
      <c r="K106" s="37"/>
    </row>
    <row r="107" spans="1:28" ht="14.25" x14ac:dyDescent="0.2">
      <c r="A107" s="149" t="s">
        <v>534</v>
      </c>
      <c r="B107" s="149" t="s">
        <v>1146</v>
      </c>
      <c r="C107" s="145" t="s">
        <v>535</v>
      </c>
      <c r="D107" s="3">
        <v>2.2000000000000002</v>
      </c>
      <c r="E107" s="141">
        <v>0</v>
      </c>
      <c r="F107" s="141">
        <v>0</v>
      </c>
      <c r="G107" s="140">
        <v>0</v>
      </c>
      <c r="H107" s="140">
        <v>0</v>
      </c>
      <c r="I107" s="142">
        <v>0</v>
      </c>
      <c r="J107" s="141">
        <v>0</v>
      </c>
      <c r="K107" s="141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</row>
    <row r="108" spans="1:28" ht="14.25" x14ac:dyDescent="0.2">
      <c r="C108" s="35" t="s">
        <v>117</v>
      </c>
      <c r="D108" s="3"/>
      <c r="E108" s="139">
        <v>0</v>
      </c>
      <c r="F108" s="139">
        <v>0</v>
      </c>
      <c r="G108" s="140"/>
      <c r="H108" s="140"/>
      <c r="I108" s="140">
        <v>0</v>
      </c>
      <c r="J108" s="139">
        <v>0</v>
      </c>
      <c r="K108" s="139">
        <v>0</v>
      </c>
    </row>
    <row r="109" spans="1:28" ht="99.75" x14ac:dyDescent="0.2">
      <c r="A109" s="149" t="s">
        <v>142</v>
      </c>
      <c r="B109" s="149" t="s">
        <v>2057</v>
      </c>
      <c r="C109" s="145" t="s">
        <v>536</v>
      </c>
      <c r="D109" s="3">
        <v>1.6</v>
      </c>
      <c r="E109" s="141">
        <v>145.11000000000001</v>
      </c>
      <c r="F109" s="141">
        <v>0</v>
      </c>
      <c r="G109" s="140">
        <v>232</v>
      </c>
      <c r="H109" s="140">
        <v>0</v>
      </c>
      <c r="I109" s="142">
        <v>0</v>
      </c>
      <c r="J109" s="141">
        <v>0</v>
      </c>
      <c r="K109" s="141">
        <v>0</v>
      </c>
      <c r="T109">
        <v>232</v>
      </c>
      <c r="U109">
        <v>232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</row>
    <row r="110" spans="1:28" ht="14.25" x14ac:dyDescent="0.2">
      <c r="C110" s="35" t="s">
        <v>117</v>
      </c>
      <c r="D110" s="3"/>
      <c r="E110" s="139">
        <v>0</v>
      </c>
      <c r="F110" s="139">
        <v>0</v>
      </c>
      <c r="G110" s="140"/>
      <c r="H110" s="140"/>
      <c r="I110" s="140">
        <v>0</v>
      </c>
      <c r="J110" s="139">
        <v>0</v>
      </c>
      <c r="K110" s="139">
        <v>0</v>
      </c>
    </row>
    <row r="111" spans="1:28" ht="99.75" x14ac:dyDescent="0.2">
      <c r="A111" s="149" t="s">
        <v>143</v>
      </c>
      <c r="B111" s="149" t="s">
        <v>2066</v>
      </c>
      <c r="C111" s="145" t="s">
        <v>537</v>
      </c>
      <c r="D111" s="3">
        <v>0.6</v>
      </c>
      <c r="E111" s="141">
        <v>193.79</v>
      </c>
      <c r="F111" s="141">
        <v>0</v>
      </c>
      <c r="G111" s="140">
        <v>116</v>
      </c>
      <c r="H111" s="140">
        <v>0</v>
      </c>
      <c r="I111" s="142">
        <v>0</v>
      </c>
      <c r="J111" s="141">
        <v>0</v>
      </c>
      <c r="K111" s="141">
        <v>0</v>
      </c>
      <c r="T111">
        <v>116</v>
      </c>
      <c r="U111">
        <v>116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</row>
    <row r="112" spans="1:28" ht="14.25" x14ac:dyDescent="0.2">
      <c r="C112" s="35" t="s">
        <v>117</v>
      </c>
      <c r="D112" s="3"/>
      <c r="E112" s="139">
        <v>0</v>
      </c>
      <c r="F112" s="139">
        <v>0</v>
      </c>
      <c r="G112" s="140"/>
      <c r="H112" s="140"/>
      <c r="I112" s="140">
        <v>0</v>
      </c>
      <c r="J112" s="139">
        <v>0</v>
      </c>
      <c r="K112" s="139">
        <v>0</v>
      </c>
    </row>
    <row r="113" spans="1:28" ht="133.5" x14ac:dyDescent="0.2">
      <c r="A113" s="149" t="s">
        <v>144</v>
      </c>
      <c r="B113" s="149" t="s">
        <v>1987</v>
      </c>
      <c r="C113" s="145" t="s">
        <v>1894</v>
      </c>
      <c r="D113" s="3">
        <v>0.314</v>
      </c>
      <c r="E113" s="141">
        <v>2045.99</v>
      </c>
      <c r="F113" s="141">
        <v>123.7</v>
      </c>
      <c r="G113" s="140">
        <v>642</v>
      </c>
      <c r="H113" s="140">
        <v>467</v>
      </c>
      <c r="I113" s="142">
        <v>39</v>
      </c>
      <c r="J113" s="141">
        <v>170.25749999999999</v>
      </c>
      <c r="K113" s="141">
        <v>53.460854999999995</v>
      </c>
      <c r="T113">
        <v>1519</v>
      </c>
      <c r="U113">
        <v>136</v>
      </c>
      <c r="V113">
        <v>467</v>
      </c>
      <c r="W113">
        <v>39</v>
      </c>
      <c r="X113">
        <v>5</v>
      </c>
      <c r="Y113">
        <v>53.460854999999995</v>
      </c>
      <c r="Z113">
        <v>0.38739749999999995</v>
      </c>
      <c r="AA113">
        <v>544</v>
      </c>
      <c r="AB113">
        <v>333</v>
      </c>
    </row>
    <row r="114" spans="1:28" ht="14.25" x14ac:dyDescent="0.2">
      <c r="C114" s="35" t="s">
        <v>97</v>
      </c>
      <c r="D114" s="3"/>
      <c r="E114" s="139">
        <v>1488.05</v>
      </c>
      <c r="F114" s="139">
        <v>15.26</v>
      </c>
      <c r="G114" s="140"/>
      <c r="H114" s="140"/>
      <c r="I114" s="140">
        <v>5</v>
      </c>
      <c r="J114" s="139">
        <v>1.2337499999999999</v>
      </c>
      <c r="K114" s="139">
        <v>0.38739749999999995</v>
      </c>
    </row>
    <row r="115" spans="1:28" ht="38.25" x14ac:dyDescent="0.2">
      <c r="C115" s="36" t="s">
        <v>538</v>
      </c>
    </row>
    <row r="116" spans="1:28" x14ac:dyDescent="0.2">
      <c r="C116" s="20" t="s">
        <v>89</v>
      </c>
      <c r="D116" s="37">
        <v>128</v>
      </c>
      <c r="E116" s="144">
        <v>1731.81312</v>
      </c>
      <c r="F116" s="37" t="s">
        <v>330</v>
      </c>
      <c r="G116" s="143">
        <v>544</v>
      </c>
      <c r="H116" s="37" t="s">
        <v>331</v>
      </c>
      <c r="I116" s="37"/>
      <c r="J116" s="37"/>
      <c r="K116" s="37"/>
    </row>
    <row r="117" spans="1:28" x14ac:dyDescent="0.2">
      <c r="C117" s="20" t="s">
        <v>92</v>
      </c>
      <c r="D117" s="37">
        <v>83</v>
      </c>
      <c r="E117" s="144">
        <v>1060.5852050000001</v>
      </c>
      <c r="F117" s="37" t="s">
        <v>332</v>
      </c>
      <c r="G117" s="143">
        <v>333</v>
      </c>
      <c r="H117" s="37" t="s">
        <v>333</v>
      </c>
      <c r="I117" s="37"/>
      <c r="J117" s="37"/>
      <c r="K117" s="37"/>
    </row>
    <row r="118" spans="1:28" x14ac:dyDescent="0.2">
      <c r="C118" s="20" t="s">
        <v>95</v>
      </c>
      <c r="D118" s="37"/>
      <c r="E118" s="144">
        <v>4838.3883249999999</v>
      </c>
      <c r="F118" s="37"/>
      <c r="G118" s="143">
        <v>1519</v>
      </c>
      <c r="H118" s="37"/>
      <c r="I118" s="37"/>
      <c r="J118" s="37"/>
      <c r="K118" s="37"/>
    </row>
    <row r="119" spans="1:28" ht="14.25" x14ac:dyDescent="0.2">
      <c r="A119" s="149" t="s">
        <v>539</v>
      </c>
      <c r="B119" s="149" t="s">
        <v>1146</v>
      </c>
      <c r="C119" s="145" t="s">
        <v>535</v>
      </c>
      <c r="D119" s="3">
        <v>31.4</v>
      </c>
      <c r="E119" s="141">
        <v>0</v>
      </c>
      <c r="F119" s="141">
        <v>0</v>
      </c>
      <c r="G119" s="140">
        <v>0</v>
      </c>
      <c r="H119" s="140">
        <v>0</v>
      </c>
      <c r="I119" s="142">
        <v>0</v>
      </c>
      <c r="J119" s="141">
        <v>0</v>
      </c>
      <c r="K119" s="141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</row>
    <row r="120" spans="1:28" ht="14.25" x14ac:dyDescent="0.2">
      <c r="C120" s="35" t="s">
        <v>117</v>
      </c>
      <c r="D120" s="3"/>
      <c r="E120" s="139">
        <v>0</v>
      </c>
      <c r="F120" s="139">
        <v>0</v>
      </c>
      <c r="G120" s="140"/>
      <c r="H120" s="140"/>
      <c r="I120" s="140">
        <v>0</v>
      </c>
      <c r="J120" s="139">
        <v>0</v>
      </c>
      <c r="K120" s="139">
        <v>0</v>
      </c>
    </row>
    <row r="121" spans="1:28" ht="99.75" x14ac:dyDescent="0.2">
      <c r="A121" s="149" t="s">
        <v>148</v>
      </c>
      <c r="B121" s="149" t="s">
        <v>2018</v>
      </c>
      <c r="C121" s="145" t="s">
        <v>540</v>
      </c>
      <c r="D121" s="3">
        <v>6</v>
      </c>
      <c r="E121" s="141">
        <v>123.43</v>
      </c>
      <c r="F121" s="141">
        <v>0</v>
      </c>
      <c r="G121" s="140">
        <v>741</v>
      </c>
      <c r="H121" s="140">
        <v>0</v>
      </c>
      <c r="I121" s="142">
        <v>0</v>
      </c>
      <c r="J121" s="141">
        <v>0</v>
      </c>
      <c r="K121" s="141">
        <v>0</v>
      </c>
      <c r="T121">
        <v>741</v>
      </c>
      <c r="U121">
        <v>741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</row>
    <row r="122" spans="1:28" ht="14.25" x14ac:dyDescent="0.2">
      <c r="C122" s="35" t="s">
        <v>117</v>
      </c>
      <c r="D122" s="3"/>
      <c r="E122" s="139">
        <v>0</v>
      </c>
      <c r="F122" s="139">
        <v>0</v>
      </c>
      <c r="G122" s="140"/>
      <c r="H122" s="140"/>
      <c r="I122" s="140">
        <v>0</v>
      </c>
      <c r="J122" s="139">
        <v>0</v>
      </c>
      <c r="K122" s="139">
        <v>0</v>
      </c>
    </row>
    <row r="123" spans="1:28" ht="99.75" x14ac:dyDescent="0.2">
      <c r="A123" s="149" t="s">
        <v>149</v>
      </c>
      <c r="B123" s="149" t="s">
        <v>2003</v>
      </c>
      <c r="C123" s="145" t="s">
        <v>541</v>
      </c>
      <c r="D123" s="3">
        <v>4.5</v>
      </c>
      <c r="E123" s="141">
        <v>128.13</v>
      </c>
      <c r="F123" s="141">
        <v>0</v>
      </c>
      <c r="G123" s="140">
        <v>577</v>
      </c>
      <c r="H123" s="140">
        <v>0</v>
      </c>
      <c r="I123" s="142">
        <v>0</v>
      </c>
      <c r="J123" s="141">
        <v>0</v>
      </c>
      <c r="K123" s="141">
        <v>0</v>
      </c>
      <c r="T123">
        <v>577</v>
      </c>
      <c r="U123">
        <v>577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</row>
    <row r="124" spans="1:28" ht="14.25" x14ac:dyDescent="0.2">
      <c r="C124" s="35" t="s">
        <v>117</v>
      </c>
      <c r="D124" s="3"/>
      <c r="E124" s="139">
        <v>0</v>
      </c>
      <c r="F124" s="139">
        <v>0</v>
      </c>
      <c r="G124" s="140"/>
      <c r="H124" s="140"/>
      <c r="I124" s="140">
        <v>0</v>
      </c>
      <c r="J124" s="139">
        <v>0</v>
      </c>
      <c r="K124" s="139">
        <v>0</v>
      </c>
    </row>
    <row r="125" spans="1:28" ht="99.75" x14ac:dyDescent="0.2">
      <c r="A125" s="149" t="s">
        <v>150</v>
      </c>
      <c r="B125" s="149" t="s">
        <v>2019</v>
      </c>
      <c r="C125" s="145" t="s">
        <v>542</v>
      </c>
      <c r="D125" s="3">
        <v>14</v>
      </c>
      <c r="E125" s="141">
        <v>133.61000000000001</v>
      </c>
      <c r="F125" s="141">
        <v>0</v>
      </c>
      <c r="G125" s="140">
        <v>1871</v>
      </c>
      <c r="H125" s="140">
        <v>0</v>
      </c>
      <c r="I125" s="142">
        <v>0</v>
      </c>
      <c r="J125" s="141">
        <v>0</v>
      </c>
      <c r="K125" s="141">
        <v>0</v>
      </c>
      <c r="T125">
        <v>1871</v>
      </c>
      <c r="U125">
        <v>1871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</row>
    <row r="126" spans="1:28" ht="14.25" x14ac:dyDescent="0.2">
      <c r="C126" s="35" t="s">
        <v>117</v>
      </c>
      <c r="D126" s="3"/>
      <c r="E126" s="139">
        <v>0</v>
      </c>
      <c r="F126" s="139">
        <v>0</v>
      </c>
      <c r="G126" s="140"/>
      <c r="H126" s="140"/>
      <c r="I126" s="140">
        <v>0</v>
      </c>
      <c r="J126" s="139">
        <v>0</v>
      </c>
      <c r="K126" s="139">
        <v>0</v>
      </c>
    </row>
    <row r="127" spans="1:28" ht="99.75" x14ac:dyDescent="0.2">
      <c r="A127" s="149" t="s">
        <v>151</v>
      </c>
      <c r="B127" s="149" t="s">
        <v>2031</v>
      </c>
      <c r="C127" s="145" t="s">
        <v>543</v>
      </c>
      <c r="D127" s="3">
        <v>1.62</v>
      </c>
      <c r="E127" s="141">
        <v>165.96</v>
      </c>
      <c r="F127" s="141">
        <v>0</v>
      </c>
      <c r="G127" s="140">
        <v>269</v>
      </c>
      <c r="H127" s="140">
        <v>0</v>
      </c>
      <c r="I127" s="142">
        <v>0</v>
      </c>
      <c r="J127" s="141">
        <v>0</v>
      </c>
      <c r="K127" s="141">
        <v>0</v>
      </c>
      <c r="T127">
        <v>269</v>
      </c>
      <c r="U127">
        <v>269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</row>
    <row r="128" spans="1:28" ht="14.25" x14ac:dyDescent="0.2">
      <c r="C128" s="35" t="s">
        <v>117</v>
      </c>
      <c r="D128" s="3"/>
      <c r="E128" s="139">
        <v>0</v>
      </c>
      <c r="F128" s="139">
        <v>0</v>
      </c>
      <c r="G128" s="140"/>
      <c r="H128" s="140"/>
      <c r="I128" s="140">
        <v>0</v>
      </c>
      <c r="J128" s="139">
        <v>0</v>
      </c>
      <c r="K128" s="139">
        <v>0</v>
      </c>
    </row>
    <row r="129" spans="1:28" x14ac:dyDescent="0.2">
      <c r="C129" s="36" t="s">
        <v>544</v>
      </c>
    </row>
    <row r="130" spans="1:28" ht="99.75" x14ac:dyDescent="0.2">
      <c r="A130" s="149" t="s">
        <v>152</v>
      </c>
      <c r="B130" s="149" t="s">
        <v>2005</v>
      </c>
      <c r="C130" s="145" t="s">
        <v>545</v>
      </c>
      <c r="D130" s="3">
        <v>0.3</v>
      </c>
      <c r="E130" s="141">
        <v>170.66</v>
      </c>
      <c r="F130" s="141">
        <v>0</v>
      </c>
      <c r="G130" s="140">
        <v>51</v>
      </c>
      <c r="H130" s="140">
        <v>0</v>
      </c>
      <c r="I130" s="142">
        <v>0</v>
      </c>
      <c r="J130" s="141">
        <v>0</v>
      </c>
      <c r="K130" s="141">
        <v>0</v>
      </c>
      <c r="T130">
        <v>51</v>
      </c>
      <c r="U130">
        <v>51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</row>
    <row r="131" spans="1:28" ht="14.25" x14ac:dyDescent="0.2">
      <c r="C131" s="35" t="s">
        <v>117</v>
      </c>
      <c r="D131" s="3"/>
      <c r="E131" s="139">
        <v>0</v>
      </c>
      <c r="F131" s="139">
        <v>0</v>
      </c>
      <c r="G131" s="140"/>
      <c r="H131" s="140"/>
      <c r="I131" s="140">
        <v>0</v>
      </c>
      <c r="J131" s="139">
        <v>0</v>
      </c>
      <c r="K131" s="139">
        <v>0</v>
      </c>
    </row>
    <row r="132" spans="1:28" ht="99.75" x14ac:dyDescent="0.2">
      <c r="A132" s="149" t="s">
        <v>154</v>
      </c>
      <c r="B132" s="149" t="s">
        <v>2004</v>
      </c>
      <c r="C132" s="145" t="s">
        <v>546</v>
      </c>
      <c r="D132" s="3">
        <v>4.96</v>
      </c>
      <c r="E132" s="141">
        <v>176.15</v>
      </c>
      <c r="F132" s="141">
        <v>0</v>
      </c>
      <c r="G132" s="140">
        <v>874</v>
      </c>
      <c r="H132" s="140">
        <v>0</v>
      </c>
      <c r="I132" s="142">
        <v>0</v>
      </c>
      <c r="J132" s="141">
        <v>0</v>
      </c>
      <c r="K132" s="141">
        <v>0</v>
      </c>
      <c r="T132">
        <v>874</v>
      </c>
      <c r="U132">
        <v>874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</row>
    <row r="133" spans="1:28" ht="14.25" x14ac:dyDescent="0.2">
      <c r="C133" s="35" t="s">
        <v>117</v>
      </c>
      <c r="D133" s="3"/>
      <c r="E133" s="139">
        <v>0</v>
      </c>
      <c r="F133" s="139">
        <v>0</v>
      </c>
      <c r="G133" s="140"/>
      <c r="H133" s="140"/>
      <c r="I133" s="140">
        <v>0</v>
      </c>
      <c r="J133" s="139">
        <v>0</v>
      </c>
      <c r="K133" s="139">
        <v>0</v>
      </c>
    </row>
    <row r="134" spans="1:28" x14ac:dyDescent="0.2">
      <c r="C134" s="36" t="s">
        <v>547</v>
      </c>
    </row>
    <row r="135" spans="1:28" ht="99.75" x14ac:dyDescent="0.2">
      <c r="A135" s="149" t="s">
        <v>155</v>
      </c>
      <c r="B135" s="149" t="s">
        <v>1986</v>
      </c>
      <c r="C135" s="145" t="s">
        <v>548</v>
      </c>
      <c r="D135" s="3">
        <v>6.0000000000000001E-3</v>
      </c>
      <c r="E135" s="141">
        <v>12676.79</v>
      </c>
      <c r="F135" s="141">
        <v>0</v>
      </c>
      <c r="G135" s="140">
        <v>76</v>
      </c>
      <c r="H135" s="140">
        <v>0</v>
      </c>
      <c r="I135" s="142">
        <v>0</v>
      </c>
      <c r="J135" s="141">
        <v>0</v>
      </c>
      <c r="K135" s="141">
        <v>0</v>
      </c>
      <c r="T135">
        <v>76</v>
      </c>
      <c r="U135">
        <v>76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ht="14.25" x14ac:dyDescent="0.2">
      <c r="C136" s="35" t="s">
        <v>99</v>
      </c>
      <c r="D136" s="3"/>
      <c r="E136" s="139">
        <v>0</v>
      </c>
      <c r="F136" s="139">
        <v>0</v>
      </c>
      <c r="G136" s="140"/>
      <c r="H136" s="140"/>
      <c r="I136" s="140">
        <v>0</v>
      </c>
      <c r="J136" s="139">
        <v>0</v>
      </c>
      <c r="K136" s="139">
        <v>0</v>
      </c>
    </row>
    <row r="137" spans="1:28" x14ac:dyDescent="0.2">
      <c r="C137" s="36" t="s">
        <v>549</v>
      </c>
    </row>
    <row r="139" spans="1:28" ht="15" x14ac:dyDescent="0.25">
      <c r="A139" s="4"/>
      <c r="B139" s="4"/>
      <c r="C139" s="187" t="s">
        <v>550</v>
      </c>
      <c r="D139" s="187"/>
      <c r="E139" s="187"/>
      <c r="F139" s="187"/>
      <c r="G139" s="136">
        <f>IF(SUM(T26:T138)=0, "-", SUM(T26:T138))</f>
        <v>62127</v>
      </c>
      <c r="H139" s="136">
        <f>IF(SUM(V26:V138)=0, "-", SUM(V26:V138))</f>
        <v>1156</v>
      </c>
      <c r="I139" s="138">
        <f>IF(SUM(W26:W138)=0, "-", SUM(W26:W138))</f>
        <v>189</v>
      </c>
      <c r="J139" s="136"/>
      <c r="K139" s="137">
        <f>IF(SUM(Y26:Y138)=0, "-", SUM(Y26:Y138))</f>
        <v>128.6679475</v>
      </c>
    </row>
    <row r="140" spans="1:28" ht="15" x14ac:dyDescent="0.25">
      <c r="A140" s="4"/>
      <c r="B140" s="4"/>
      <c r="C140" s="4"/>
      <c r="D140" s="4"/>
      <c r="E140" s="4"/>
      <c r="F140" s="4"/>
      <c r="G140" s="136"/>
      <c r="H140" s="136"/>
      <c r="I140" s="136">
        <f>IF(SUM(X26:X138)=0, "-", SUM(X26:X138))</f>
        <v>15</v>
      </c>
      <c r="J140" s="136"/>
      <c r="K140" s="135">
        <f>IF(SUM(Z26:Z138)=0, "-", SUM(Z26:Z138))</f>
        <v>1.2520812499999998</v>
      </c>
    </row>
    <row r="143" spans="1:28" ht="14.25" x14ac:dyDescent="0.2">
      <c r="C143" s="183" t="s">
        <v>127</v>
      </c>
      <c r="D143" s="183"/>
      <c r="E143" s="183"/>
      <c r="F143" s="183"/>
      <c r="G143" s="183"/>
      <c r="H143" s="172">
        <v>1156</v>
      </c>
      <c r="I143" s="172"/>
    </row>
    <row r="144" spans="1:28" ht="14.25" x14ac:dyDescent="0.2">
      <c r="C144" s="183" t="s">
        <v>128</v>
      </c>
      <c r="D144" s="183"/>
      <c r="E144" s="183"/>
      <c r="F144" s="183"/>
      <c r="G144" s="183"/>
      <c r="H144" s="172">
        <v>189</v>
      </c>
      <c r="I144" s="172"/>
    </row>
    <row r="145" spans="1:28" ht="14.25" x14ac:dyDescent="0.2">
      <c r="C145" s="183" t="s">
        <v>129</v>
      </c>
      <c r="D145" s="183"/>
      <c r="E145" s="183"/>
      <c r="F145" s="183"/>
      <c r="G145" s="183"/>
      <c r="H145" s="172">
        <v>58650</v>
      </c>
      <c r="I145" s="172"/>
    </row>
    <row r="146" spans="1:28" ht="14.25" x14ac:dyDescent="0.2">
      <c r="C146" s="183" t="s">
        <v>130</v>
      </c>
      <c r="D146" s="183"/>
      <c r="E146" s="183"/>
      <c r="F146" s="183"/>
      <c r="G146" s="183"/>
      <c r="H146" s="172">
        <v>1316</v>
      </c>
      <c r="I146" s="172"/>
    </row>
    <row r="147" spans="1:28" ht="14.25" x14ac:dyDescent="0.2">
      <c r="C147" s="183" t="s">
        <v>131</v>
      </c>
      <c r="D147" s="183"/>
      <c r="E147" s="183"/>
      <c r="F147" s="183"/>
      <c r="G147" s="183"/>
      <c r="H147" s="172">
        <v>816</v>
      </c>
      <c r="I147" s="172"/>
    </row>
    <row r="148" spans="1:28" ht="14.25" x14ac:dyDescent="0.2">
      <c r="C148" s="183" t="s">
        <v>134</v>
      </c>
      <c r="D148" s="183"/>
      <c r="E148" s="183"/>
      <c r="F148" s="183"/>
      <c r="G148" s="183"/>
      <c r="H148" s="172">
        <v>62127</v>
      </c>
      <c r="I148" s="172"/>
    </row>
    <row r="150" spans="1:28" ht="16.5" x14ac:dyDescent="0.25">
      <c r="A150" s="186" t="s">
        <v>551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</row>
    <row r="151" spans="1:28" ht="133.5" x14ac:dyDescent="0.2">
      <c r="A151" s="149" t="s">
        <v>156</v>
      </c>
      <c r="B151" s="149" t="s">
        <v>2035</v>
      </c>
      <c r="C151" s="145" t="s">
        <v>1911</v>
      </c>
      <c r="D151" s="3">
        <v>1</v>
      </c>
      <c r="E151" s="141">
        <v>737.68</v>
      </c>
      <c r="F151" s="141">
        <v>117.36</v>
      </c>
      <c r="G151" s="140">
        <v>737</v>
      </c>
      <c r="H151" s="140">
        <v>423</v>
      </c>
      <c r="I151" s="142">
        <v>117</v>
      </c>
      <c r="J151" s="141">
        <v>46.114999999999995</v>
      </c>
      <c r="K151" s="141">
        <v>46.114999999999995</v>
      </c>
      <c r="T151">
        <v>1538</v>
      </c>
      <c r="U151">
        <v>197</v>
      </c>
      <c r="V151">
        <v>423</v>
      </c>
      <c r="W151">
        <v>117</v>
      </c>
      <c r="X151">
        <v>8</v>
      </c>
      <c r="Y151">
        <v>46.114999999999995</v>
      </c>
      <c r="Z151">
        <v>0.625</v>
      </c>
      <c r="AA151">
        <v>497</v>
      </c>
      <c r="AB151">
        <v>304</v>
      </c>
    </row>
    <row r="152" spans="1:28" ht="14.25" x14ac:dyDescent="0.2">
      <c r="C152" s="35" t="s">
        <v>158</v>
      </c>
      <c r="D152" s="3"/>
      <c r="E152" s="139">
        <v>423.34</v>
      </c>
      <c r="F152" s="139">
        <v>7.73</v>
      </c>
      <c r="G152" s="140"/>
      <c r="H152" s="140"/>
      <c r="I152" s="140">
        <v>8</v>
      </c>
      <c r="J152" s="139">
        <v>0.625</v>
      </c>
      <c r="K152" s="139">
        <v>0.625</v>
      </c>
    </row>
    <row r="153" spans="1:28" x14ac:dyDescent="0.2">
      <c r="C153" s="20" t="s">
        <v>89</v>
      </c>
      <c r="D153" s="37">
        <v>128</v>
      </c>
      <c r="E153" s="144">
        <v>496.59264000000002</v>
      </c>
      <c r="F153" s="37" t="s">
        <v>330</v>
      </c>
      <c r="G153" s="143">
        <v>497</v>
      </c>
      <c r="H153" s="37" t="s">
        <v>331</v>
      </c>
      <c r="I153" s="37"/>
      <c r="J153" s="37"/>
      <c r="K153" s="37"/>
    </row>
    <row r="154" spans="1:28" x14ac:dyDescent="0.2">
      <c r="C154" s="20" t="s">
        <v>92</v>
      </c>
      <c r="D154" s="37">
        <v>83</v>
      </c>
      <c r="E154" s="144">
        <v>304.11988500000001</v>
      </c>
      <c r="F154" s="37" t="s">
        <v>332</v>
      </c>
      <c r="G154" s="143">
        <v>304</v>
      </c>
      <c r="H154" s="37" t="s">
        <v>333</v>
      </c>
      <c r="I154" s="37"/>
      <c r="J154" s="37"/>
      <c r="K154" s="37"/>
    </row>
    <row r="155" spans="1:28" x14ac:dyDescent="0.2">
      <c r="C155" s="20" t="s">
        <v>95</v>
      </c>
      <c r="D155" s="37"/>
      <c r="E155" s="144">
        <v>1538.392525</v>
      </c>
      <c r="F155" s="37"/>
      <c r="G155" s="143">
        <v>1538</v>
      </c>
      <c r="H155" s="37"/>
      <c r="I155" s="37"/>
      <c r="J155" s="37"/>
      <c r="K155" s="37"/>
    </row>
    <row r="156" spans="1:28" ht="99.75" x14ac:dyDescent="0.2">
      <c r="A156" s="149" t="s">
        <v>159</v>
      </c>
      <c r="B156" s="149" t="s">
        <v>2059</v>
      </c>
      <c r="C156" s="145" t="s">
        <v>552</v>
      </c>
      <c r="D156" s="3">
        <v>1</v>
      </c>
      <c r="E156" s="141">
        <v>12018.8</v>
      </c>
      <c r="F156" s="141">
        <v>0</v>
      </c>
      <c r="G156" s="140">
        <v>12019</v>
      </c>
      <c r="H156" s="140">
        <v>0</v>
      </c>
      <c r="I156" s="142">
        <v>0</v>
      </c>
      <c r="J156" s="141">
        <v>0</v>
      </c>
      <c r="K156" s="141">
        <v>0</v>
      </c>
      <c r="T156">
        <v>12019</v>
      </c>
      <c r="U156">
        <v>12019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</row>
    <row r="157" spans="1:28" ht="14.25" x14ac:dyDescent="0.2">
      <c r="C157" s="35" t="s">
        <v>158</v>
      </c>
      <c r="D157" s="3"/>
      <c r="E157" s="139">
        <v>0</v>
      </c>
      <c r="F157" s="139">
        <v>0</v>
      </c>
      <c r="G157" s="140"/>
      <c r="H157" s="140"/>
      <c r="I157" s="140">
        <v>0</v>
      </c>
      <c r="J157" s="139">
        <v>0</v>
      </c>
      <c r="K157" s="139">
        <v>0</v>
      </c>
    </row>
    <row r="158" spans="1:28" ht="99.75" x14ac:dyDescent="0.2">
      <c r="A158" s="149" t="s">
        <v>160</v>
      </c>
      <c r="B158" s="149" t="s">
        <v>2037</v>
      </c>
      <c r="C158" s="145" t="s">
        <v>2038</v>
      </c>
      <c r="D158" s="3">
        <v>1</v>
      </c>
      <c r="E158" s="141">
        <v>13.54</v>
      </c>
      <c r="F158" s="141">
        <v>1.88</v>
      </c>
      <c r="G158" s="140">
        <v>14</v>
      </c>
      <c r="H158" s="140">
        <v>11</v>
      </c>
      <c r="I158" s="142">
        <v>2</v>
      </c>
      <c r="J158" s="141">
        <v>1.03</v>
      </c>
      <c r="K158" s="141">
        <v>1.03</v>
      </c>
      <c r="T158">
        <v>30</v>
      </c>
      <c r="U158">
        <v>1</v>
      </c>
      <c r="V158">
        <v>11</v>
      </c>
      <c r="W158">
        <v>2</v>
      </c>
      <c r="X158">
        <v>0</v>
      </c>
      <c r="Y158">
        <v>1.03</v>
      </c>
      <c r="Z158">
        <v>0.01</v>
      </c>
      <c r="AA158">
        <v>9</v>
      </c>
      <c r="AB158">
        <v>7</v>
      </c>
    </row>
    <row r="159" spans="1:28" ht="14.25" x14ac:dyDescent="0.2">
      <c r="C159" s="35" t="s">
        <v>2039</v>
      </c>
      <c r="D159" s="3"/>
      <c r="E159" s="139">
        <v>10.82</v>
      </c>
      <c r="F159" s="139">
        <v>0.12</v>
      </c>
      <c r="G159" s="140"/>
      <c r="H159" s="140"/>
      <c r="I159" s="140">
        <v>0</v>
      </c>
      <c r="J159" s="139">
        <v>0.01</v>
      </c>
      <c r="K159" s="139">
        <v>0.01</v>
      </c>
    </row>
    <row r="160" spans="1:28" x14ac:dyDescent="0.2">
      <c r="C160" s="20" t="s">
        <v>89</v>
      </c>
      <c r="D160" s="37">
        <v>80</v>
      </c>
      <c r="E160" s="144">
        <v>8.7519999999999989</v>
      </c>
      <c r="F160" s="37"/>
      <c r="G160" s="143">
        <v>9</v>
      </c>
      <c r="H160" s="37" t="s">
        <v>222</v>
      </c>
      <c r="I160" s="37"/>
      <c r="J160" s="37"/>
      <c r="K160" s="37"/>
    </row>
    <row r="161" spans="1:28" x14ac:dyDescent="0.2">
      <c r="C161" s="20" t="s">
        <v>92</v>
      </c>
      <c r="D161" s="37">
        <v>60</v>
      </c>
      <c r="E161" s="144">
        <v>6.5640000000000001</v>
      </c>
      <c r="F161" s="37"/>
      <c r="G161" s="143">
        <v>7</v>
      </c>
      <c r="H161" s="37" t="s">
        <v>198</v>
      </c>
      <c r="I161" s="37"/>
      <c r="J161" s="37"/>
      <c r="K161" s="37"/>
    </row>
    <row r="162" spans="1:28" x14ac:dyDescent="0.2">
      <c r="C162" s="20" t="s">
        <v>95</v>
      </c>
      <c r="D162" s="37"/>
      <c r="E162" s="144">
        <v>28.855999999999998</v>
      </c>
      <c r="F162" s="37"/>
      <c r="G162" s="143">
        <v>30</v>
      </c>
      <c r="H162" s="37"/>
      <c r="I162" s="37"/>
      <c r="J162" s="37"/>
      <c r="K162" s="37"/>
    </row>
    <row r="163" spans="1:28" ht="14.25" x14ac:dyDescent="0.2">
      <c r="A163" s="149" t="s">
        <v>2060</v>
      </c>
      <c r="B163" s="149" t="s">
        <v>1146</v>
      </c>
      <c r="C163" s="145" t="s">
        <v>2041</v>
      </c>
      <c r="D163" s="3">
        <v>1.0999999999999999E-2</v>
      </c>
      <c r="E163" s="141">
        <v>0</v>
      </c>
      <c r="F163" s="141">
        <v>0</v>
      </c>
      <c r="G163" s="140">
        <v>0</v>
      </c>
      <c r="H163" s="140">
        <v>0</v>
      </c>
      <c r="I163" s="142">
        <v>0</v>
      </c>
      <c r="J163" s="141">
        <v>0</v>
      </c>
      <c r="K163" s="141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</row>
    <row r="164" spans="1:28" ht="14.25" x14ac:dyDescent="0.2">
      <c r="C164" s="35" t="s">
        <v>99</v>
      </c>
      <c r="D164" s="3"/>
      <c r="E164" s="139">
        <v>0</v>
      </c>
      <c r="F164" s="139">
        <v>0</v>
      </c>
      <c r="G164" s="140"/>
      <c r="H164" s="140"/>
      <c r="I164" s="140">
        <v>0</v>
      </c>
      <c r="J164" s="139">
        <v>0</v>
      </c>
      <c r="K164" s="139">
        <v>0</v>
      </c>
    </row>
    <row r="165" spans="1:28" ht="128.25" x14ac:dyDescent="0.2">
      <c r="A165" s="149" t="s">
        <v>161</v>
      </c>
      <c r="B165" s="149" t="s">
        <v>2042</v>
      </c>
      <c r="C165" s="145" t="s">
        <v>518</v>
      </c>
      <c r="D165" s="3">
        <v>1</v>
      </c>
      <c r="E165" s="141">
        <v>6423.8</v>
      </c>
      <c r="F165" s="141">
        <v>0</v>
      </c>
      <c r="G165" s="140">
        <v>6424</v>
      </c>
      <c r="H165" s="140">
        <v>0</v>
      </c>
      <c r="I165" s="142">
        <v>0</v>
      </c>
      <c r="J165" s="141">
        <v>0</v>
      </c>
      <c r="K165" s="141">
        <v>0</v>
      </c>
      <c r="T165">
        <v>6424</v>
      </c>
      <c r="U165">
        <v>6424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</row>
    <row r="166" spans="1:28" ht="14.25" x14ac:dyDescent="0.2">
      <c r="C166" s="35" t="s">
        <v>153</v>
      </c>
      <c r="D166" s="3"/>
      <c r="E166" s="139">
        <v>0</v>
      </c>
      <c r="F166" s="139">
        <v>0</v>
      </c>
      <c r="G166" s="140"/>
      <c r="H166" s="140"/>
      <c r="I166" s="140">
        <v>0</v>
      </c>
      <c r="J166" s="139">
        <v>0</v>
      </c>
      <c r="K166" s="139">
        <v>0</v>
      </c>
    </row>
    <row r="167" spans="1:28" ht="133.5" x14ac:dyDescent="0.2">
      <c r="A167" s="149" t="s">
        <v>162</v>
      </c>
      <c r="B167" s="149" t="s">
        <v>2043</v>
      </c>
      <c r="C167" s="145" t="s">
        <v>1910</v>
      </c>
      <c r="D167" s="3">
        <v>1</v>
      </c>
      <c r="E167" s="141">
        <v>28.99</v>
      </c>
      <c r="F167" s="141">
        <v>2.39</v>
      </c>
      <c r="G167" s="140">
        <v>29</v>
      </c>
      <c r="H167" s="140">
        <v>17</v>
      </c>
      <c r="I167" s="142">
        <v>2</v>
      </c>
      <c r="J167" s="141">
        <v>1.8399999999999999</v>
      </c>
      <c r="K167" s="141">
        <v>1.8399999999999999</v>
      </c>
      <c r="T167">
        <v>61</v>
      </c>
      <c r="U167">
        <v>10</v>
      </c>
      <c r="V167">
        <v>17</v>
      </c>
      <c r="W167">
        <v>2</v>
      </c>
      <c r="X167">
        <v>0</v>
      </c>
      <c r="Y167">
        <v>1.8399999999999999</v>
      </c>
      <c r="Z167">
        <v>1.2500000000000001E-2</v>
      </c>
      <c r="AA167">
        <v>20</v>
      </c>
      <c r="AB167">
        <v>12</v>
      </c>
    </row>
    <row r="168" spans="1:28" ht="14.25" x14ac:dyDescent="0.2">
      <c r="C168" s="35" t="s">
        <v>158</v>
      </c>
      <c r="D168" s="3"/>
      <c r="E168" s="139">
        <v>16.5</v>
      </c>
      <c r="F168" s="139">
        <v>0.15</v>
      </c>
      <c r="G168" s="140"/>
      <c r="H168" s="140"/>
      <c r="I168" s="140">
        <v>0</v>
      </c>
      <c r="J168" s="139">
        <v>1.2500000000000001E-2</v>
      </c>
      <c r="K168" s="139">
        <v>1.2500000000000001E-2</v>
      </c>
    </row>
    <row r="169" spans="1:28" x14ac:dyDescent="0.2">
      <c r="C169" s="20" t="s">
        <v>89</v>
      </c>
      <c r="D169" s="37">
        <v>128</v>
      </c>
      <c r="E169" s="144">
        <v>19.180799999999998</v>
      </c>
      <c r="F169" s="37" t="s">
        <v>330</v>
      </c>
      <c r="G169" s="143">
        <v>20</v>
      </c>
      <c r="H169" s="37" t="s">
        <v>331</v>
      </c>
      <c r="I169" s="37"/>
      <c r="J169" s="37"/>
      <c r="K169" s="37"/>
    </row>
    <row r="170" spans="1:28" x14ac:dyDescent="0.2">
      <c r="C170" s="20" t="s">
        <v>92</v>
      </c>
      <c r="D170" s="37">
        <v>83</v>
      </c>
      <c r="E170" s="144">
        <v>11.746574999999998</v>
      </c>
      <c r="F170" s="37" t="s">
        <v>332</v>
      </c>
      <c r="G170" s="143">
        <v>12</v>
      </c>
      <c r="H170" s="37" t="s">
        <v>333</v>
      </c>
      <c r="I170" s="37"/>
      <c r="J170" s="37"/>
      <c r="K170" s="37"/>
    </row>
    <row r="171" spans="1:28" x14ac:dyDescent="0.2">
      <c r="C171" s="20" t="s">
        <v>95</v>
      </c>
      <c r="D171" s="37"/>
      <c r="E171" s="144">
        <v>59.917374999999993</v>
      </c>
      <c r="F171" s="37"/>
      <c r="G171" s="143">
        <v>61</v>
      </c>
      <c r="H171" s="37"/>
      <c r="I171" s="37"/>
      <c r="J171" s="37"/>
      <c r="K171" s="37"/>
    </row>
    <row r="172" spans="1:28" ht="28.5" x14ac:dyDescent="0.2">
      <c r="A172" s="149" t="s">
        <v>373</v>
      </c>
      <c r="B172" s="149" t="s">
        <v>1146</v>
      </c>
      <c r="C172" s="145" t="s">
        <v>519</v>
      </c>
      <c r="D172" s="3">
        <v>1</v>
      </c>
      <c r="E172" s="141">
        <v>0</v>
      </c>
      <c r="F172" s="141">
        <v>0</v>
      </c>
      <c r="G172" s="140">
        <v>0</v>
      </c>
      <c r="H172" s="140">
        <v>0</v>
      </c>
      <c r="I172" s="142">
        <v>0</v>
      </c>
      <c r="J172" s="141">
        <v>0</v>
      </c>
      <c r="K172" s="141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</row>
    <row r="173" spans="1:28" ht="14.25" x14ac:dyDescent="0.2">
      <c r="C173" s="35" t="s">
        <v>158</v>
      </c>
      <c r="D173" s="3"/>
      <c r="E173" s="139">
        <v>0</v>
      </c>
      <c r="F173" s="139">
        <v>0</v>
      </c>
      <c r="G173" s="140"/>
      <c r="H173" s="140"/>
      <c r="I173" s="140">
        <v>0</v>
      </c>
      <c r="J173" s="139">
        <v>0</v>
      </c>
      <c r="K173" s="139">
        <v>0</v>
      </c>
    </row>
    <row r="174" spans="1:28" ht="99.75" x14ac:dyDescent="0.2">
      <c r="A174" s="149" t="s">
        <v>163</v>
      </c>
      <c r="B174" s="149" t="s">
        <v>2044</v>
      </c>
      <c r="C174" s="145" t="s">
        <v>2045</v>
      </c>
      <c r="D174" s="3">
        <v>1</v>
      </c>
      <c r="E174" s="141">
        <v>2536.66</v>
      </c>
      <c r="F174" s="141">
        <v>0</v>
      </c>
      <c r="G174" s="140">
        <v>2537</v>
      </c>
      <c r="H174" s="140">
        <v>0</v>
      </c>
      <c r="I174" s="142">
        <v>0</v>
      </c>
      <c r="J174" s="141">
        <v>0</v>
      </c>
      <c r="K174" s="141">
        <v>0</v>
      </c>
      <c r="T174">
        <v>2537</v>
      </c>
      <c r="U174">
        <v>2537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</row>
    <row r="175" spans="1:28" ht="14.25" x14ac:dyDescent="0.2">
      <c r="C175" s="35" t="s">
        <v>158</v>
      </c>
      <c r="D175" s="3"/>
      <c r="E175" s="139">
        <v>0</v>
      </c>
      <c r="F175" s="139">
        <v>0</v>
      </c>
      <c r="G175" s="140"/>
      <c r="H175" s="140"/>
      <c r="I175" s="140">
        <v>0</v>
      </c>
      <c r="J175" s="139">
        <v>0</v>
      </c>
      <c r="K175" s="139">
        <v>0</v>
      </c>
    </row>
    <row r="176" spans="1:28" ht="105" x14ac:dyDescent="0.2">
      <c r="A176" s="149" t="s">
        <v>165</v>
      </c>
      <c r="B176" s="149" t="s">
        <v>2046</v>
      </c>
      <c r="C176" s="145" t="s">
        <v>1909</v>
      </c>
      <c r="D176" s="3">
        <v>0.56000000000000005</v>
      </c>
      <c r="E176" s="141">
        <v>63.95</v>
      </c>
      <c r="F176" s="141">
        <v>0.87</v>
      </c>
      <c r="G176" s="140">
        <v>35</v>
      </c>
      <c r="H176" s="140">
        <v>34</v>
      </c>
      <c r="I176" s="142">
        <v>0</v>
      </c>
      <c r="J176" s="141">
        <v>6.9431250000000002</v>
      </c>
      <c r="K176" s="141">
        <v>3.8881500000000004</v>
      </c>
      <c r="T176">
        <v>98</v>
      </c>
      <c r="U176">
        <v>1</v>
      </c>
      <c r="V176">
        <v>34</v>
      </c>
      <c r="W176">
        <v>0</v>
      </c>
      <c r="X176">
        <v>0</v>
      </c>
      <c r="Y176">
        <v>3.8881500000000004</v>
      </c>
      <c r="Z176">
        <v>7.3500000000000015E-3</v>
      </c>
      <c r="AA176">
        <v>39</v>
      </c>
      <c r="AB176">
        <v>24</v>
      </c>
    </row>
    <row r="177" spans="1:28" ht="14.25" x14ac:dyDescent="0.2">
      <c r="C177" s="35" t="s">
        <v>117</v>
      </c>
      <c r="D177" s="3"/>
      <c r="E177" s="139">
        <v>60.69</v>
      </c>
      <c r="F177" s="139">
        <v>0.16</v>
      </c>
      <c r="G177" s="140"/>
      <c r="H177" s="140"/>
      <c r="I177" s="140">
        <v>0</v>
      </c>
      <c r="J177" s="139">
        <v>1.3125000000000001E-2</v>
      </c>
      <c r="K177" s="139">
        <v>7.3500000000000015E-3</v>
      </c>
    </row>
    <row r="178" spans="1:28" x14ac:dyDescent="0.2">
      <c r="C178" s="36" t="s">
        <v>520</v>
      </c>
    </row>
    <row r="179" spans="1:28" x14ac:dyDescent="0.2">
      <c r="C179" s="20" t="s">
        <v>89</v>
      </c>
      <c r="D179" s="37">
        <v>128</v>
      </c>
      <c r="E179" s="144">
        <v>70.099199999999996</v>
      </c>
      <c r="F179" s="37" t="s">
        <v>330</v>
      </c>
      <c r="G179" s="143">
        <v>39</v>
      </c>
      <c r="H179" s="37" t="s">
        <v>331</v>
      </c>
      <c r="I179" s="37"/>
      <c r="J179" s="37"/>
      <c r="K179" s="37"/>
    </row>
    <row r="180" spans="1:28" x14ac:dyDescent="0.2">
      <c r="C180" s="20" t="s">
        <v>92</v>
      </c>
      <c r="D180" s="37">
        <v>83</v>
      </c>
      <c r="E180" s="144">
        <v>42.929674999999996</v>
      </c>
      <c r="F180" s="37" t="s">
        <v>332</v>
      </c>
      <c r="G180" s="143">
        <v>24</v>
      </c>
      <c r="H180" s="37" t="s">
        <v>333</v>
      </c>
      <c r="I180" s="37"/>
      <c r="J180" s="37"/>
      <c r="K180" s="37"/>
    </row>
    <row r="181" spans="1:28" x14ac:dyDescent="0.2">
      <c r="C181" s="20" t="s">
        <v>95</v>
      </c>
      <c r="D181" s="37"/>
      <c r="E181" s="144">
        <v>176.97887500000002</v>
      </c>
      <c r="F181" s="37"/>
      <c r="G181" s="143">
        <v>98</v>
      </c>
      <c r="H181" s="37"/>
      <c r="I181" s="37"/>
      <c r="J181" s="37"/>
      <c r="K181" s="37"/>
    </row>
    <row r="182" spans="1:28" ht="14.25" x14ac:dyDescent="0.2">
      <c r="A182" s="149" t="s">
        <v>553</v>
      </c>
      <c r="B182" s="149" t="s">
        <v>1146</v>
      </c>
      <c r="C182" s="145" t="s">
        <v>522</v>
      </c>
      <c r="D182" s="3">
        <v>0.56000000000000005</v>
      </c>
      <c r="E182" s="141">
        <v>0</v>
      </c>
      <c r="F182" s="141">
        <v>0</v>
      </c>
      <c r="G182" s="140">
        <v>0</v>
      </c>
      <c r="H182" s="140">
        <v>0</v>
      </c>
      <c r="I182" s="142">
        <v>0</v>
      </c>
      <c r="J182" s="141">
        <v>0</v>
      </c>
      <c r="K182" s="141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</row>
    <row r="183" spans="1:28" ht="14.25" x14ac:dyDescent="0.2">
      <c r="C183" s="35" t="s">
        <v>117</v>
      </c>
      <c r="D183" s="3"/>
      <c r="E183" s="139">
        <v>0</v>
      </c>
      <c r="F183" s="139">
        <v>0</v>
      </c>
      <c r="G183" s="140"/>
      <c r="H183" s="140"/>
      <c r="I183" s="140">
        <v>0</v>
      </c>
      <c r="J183" s="139">
        <v>0</v>
      </c>
      <c r="K183" s="139">
        <v>0</v>
      </c>
    </row>
    <row r="184" spans="1:28" ht="99.75" x14ac:dyDescent="0.2">
      <c r="A184" s="149" t="s">
        <v>166</v>
      </c>
      <c r="B184" s="149" t="s">
        <v>2047</v>
      </c>
      <c r="C184" s="145" t="s">
        <v>523</v>
      </c>
      <c r="D184" s="3">
        <v>2</v>
      </c>
      <c r="E184" s="141">
        <v>158.43</v>
      </c>
      <c r="F184" s="141">
        <v>0</v>
      </c>
      <c r="G184" s="140">
        <v>317</v>
      </c>
      <c r="H184" s="140">
        <v>0</v>
      </c>
      <c r="I184" s="142">
        <v>0</v>
      </c>
      <c r="J184" s="141">
        <v>0</v>
      </c>
      <c r="K184" s="141">
        <v>0</v>
      </c>
      <c r="T184">
        <v>317</v>
      </c>
      <c r="U184">
        <v>317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</row>
    <row r="185" spans="1:28" ht="14.25" x14ac:dyDescent="0.2">
      <c r="C185" s="35" t="s">
        <v>158</v>
      </c>
      <c r="D185" s="3"/>
      <c r="E185" s="139">
        <v>0</v>
      </c>
      <c r="F185" s="139">
        <v>0</v>
      </c>
      <c r="G185" s="140"/>
      <c r="H185" s="140"/>
      <c r="I185" s="140">
        <v>0</v>
      </c>
      <c r="J185" s="139">
        <v>0</v>
      </c>
      <c r="K185" s="139">
        <v>0</v>
      </c>
    </row>
    <row r="186" spans="1:28" ht="99.75" x14ac:dyDescent="0.2">
      <c r="A186" s="149" t="s">
        <v>167</v>
      </c>
      <c r="B186" s="149" t="s">
        <v>1636</v>
      </c>
      <c r="C186" s="145" t="s">
        <v>517</v>
      </c>
      <c r="D186" s="3">
        <v>4</v>
      </c>
      <c r="E186" s="141">
        <v>11.53</v>
      </c>
      <c r="F186" s="141">
        <v>0</v>
      </c>
      <c r="G186" s="140">
        <v>46</v>
      </c>
      <c r="H186" s="140">
        <v>41</v>
      </c>
      <c r="I186" s="142">
        <v>0</v>
      </c>
      <c r="J186" s="141">
        <v>1.03</v>
      </c>
      <c r="K186" s="141">
        <v>4.12</v>
      </c>
      <c r="T186">
        <v>104</v>
      </c>
      <c r="U186">
        <v>5</v>
      </c>
      <c r="V186">
        <v>41</v>
      </c>
      <c r="W186">
        <v>0</v>
      </c>
      <c r="X186">
        <v>0</v>
      </c>
      <c r="Y186">
        <v>4.12</v>
      </c>
      <c r="Z186">
        <v>0</v>
      </c>
      <c r="AA186">
        <v>33</v>
      </c>
      <c r="AB186">
        <v>25</v>
      </c>
    </row>
    <row r="187" spans="1:28" ht="14.25" x14ac:dyDescent="0.2">
      <c r="C187" s="35" t="s">
        <v>158</v>
      </c>
      <c r="D187" s="3"/>
      <c r="E187" s="139">
        <v>10.220000000000001</v>
      </c>
      <c r="F187" s="139">
        <v>0</v>
      </c>
      <c r="G187" s="140"/>
      <c r="H187" s="140"/>
      <c r="I187" s="140">
        <v>0</v>
      </c>
      <c r="J187" s="139">
        <v>0</v>
      </c>
      <c r="K187" s="139">
        <v>0</v>
      </c>
    </row>
    <row r="188" spans="1:28" x14ac:dyDescent="0.2">
      <c r="C188" s="36" t="s">
        <v>524</v>
      </c>
    </row>
    <row r="189" spans="1:28" x14ac:dyDescent="0.2">
      <c r="C189" s="20" t="s">
        <v>89</v>
      </c>
      <c r="D189" s="37">
        <v>80</v>
      </c>
      <c r="E189" s="144">
        <v>8.1760000000000002</v>
      </c>
      <c r="F189" s="37"/>
      <c r="G189" s="143">
        <v>33</v>
      </c>
      <c r="H189" s="37" t="s">
        <v>222</v>
      </c>
      <c r="I189" s="37"/>
      <c r="J189" s="37"/>
      <c r="K189" s="37"/>
    </row>
    <row r="190" spans="1:28" x14ac:dyDescent="0.2">
      <c r="C190" s="20" t="s">
        <v>92</v>
      </c>
      <c r="D190" s="37">
        <v>60</v>
      </c>
      <c r="E190" s="144">
        <v>6.1320000000000006</v>
      </c>
      <c r="F190" s="37"/>
      <c r="G190" s="143">
        <v>25</v>
      </c>
      <c r="H190" s="37" t="s">
        <v>198</v>
      </c>
      <c r="I190" s="37"/>
      <c r="J190" s="37"/>
      <c r="K190" s="37"/>
    </row>
    <row r="191" spans="1:28" x14ac:dyDescent="0.2">
      <c r="C191" s="20" t="s">
        <v>95</v>
      </c>
      <c r="D191" s="37"/>
      <c r="E191" s="144">
        <v>25.838000000000001</v>
      </c>
      <c r="F191" s="37"/>
      <c r="G191" s="143">
        <v>104</v>
      </c>
      <c r="H191" s="37"/>
      <c r="I191" s="37"/>
      <c r="J191" s="37"/>
      <c r="K191" s="37"/>
    </row>
    <row r="192" spans="1:28" ht="99.75" x14ac:dyDescent="0.2">
      <c r="A192" s="149" t="s">
        <v>168</v>
      </c>
      <c r="B192" s="149" t="s">
        <v>2048</v>
      </c>
      <c r="C192" s="145" t="s">
        <v>2049</v>
      </c>
      <c r="D192" s="3">
        <v>0.1</v>
      </c>
      <c r="E192" s="141">
        <v>560.37</v>
      </c>
      <c r="F192" s="141">
        <v>0</v>
      </c>
      <c r="G192" s="140">
        <v>56</v>
      </c>
      <c r="H192" s="140">
        <v>0</v>
      </c>
      <c r="I192" s="142">
        <v>0</v>
      </c>
      <c r="J192" s="141">
        <v>0</v>
      </c>
      <c r="K192" s="141">
        <v>0</v>
      </c>
      <c r="T192">
        <v>56</v>
      </c>
      <c r="U192">
        <v>56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</row>
    <row r="193" spans="1:28" ht="14.25" x14ac:dyDescent="0.2">
      <c r="C193" s="35" t="s">
        <v>158</v>
      </c>
      <c r="D193" s="3"/>
      <c r="E193" s="139">
        <v>0</v>
      </c>
      <c r="F193" s="139">
        <v>0</v>
      </c>
      <c r="G193" s="140"/>
      <c r="H193" s="140"/>
      <c r="I193" s="140">
        <v>0</v>
      </c>
      <c r="J193" s="139">
        <v>0</v>
      </c>
      <c r="K193" s="139">
        <v>0</v>
      </c>
    </row>
    <row r="194" spans="1:28" x14ac:dyDescent="0.2">
      <c r="C194" s="36" t="s">
        <v>418</v>
      </c>
    </row>
    <row r="195" spans="1:28" ht="99.75" x14ac:dyDescent="0.2">
      <c r="A195" s="149" t="s">
        <v>170</v>
      </c>
      <c r="B195" s="149" t="s">
        <v>2050</v>
      </c>
      <c r="C195" s="145" t="s">
        <v>525</v>
      </c>
      <c r="D195" s="3">
        <v>0.1</v>
      </c>
      <c r="E195" s="141">
        <v>2921.34</v>
      </c>
      <c r="F195" s="141">
        <v>0</v>
      </c>
      <c r="G195" s="140">
        <v>292</v>
      </c>
      <c r="H195" s="140">
        <v>0</v>
      </c>
      <c r="I195" s="142">
        <v>0</v>
      </c>
      <c r="J195" s="141">
        <v>0</v>
      </c>
      <c r="K195" s="141">
        <v>0</v>
      </c>
      <c r="T195">
        <v>292</v>
      </c>
      <c r="U195">
        <v>292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</row>
    <row r="196" spans="1:28" ht="14.25" x14ac:dyDescent="0.2">
      <c r="C196" s="35" t="s">
        <v>173</v>
      </c>
      <c r="D196" s="3"/>
      <c r="E196" s="139">
        <v>0</v>
      </c>
      <c r="F196" s="139">
        <v>0</v>
      </c>
      <c r="G196" s="140"/>
      <c r="H196" s="140"/>
      <c r="I196" s="140">
        <v>0</v>
      </c>
      <c r="J196" s="139">
        <v>0</v>
      </c>
      <c r="K196" s="139">
        <v>0</v>
      </c>
    </row>
    <row r="197" spans="1:28" x14ac:dyDescent="0.2">
      <c r="C197" s="36" t="s">
        <v>418</v>
      </c>
    </row>
    <row r="198" spans="1:28" ht="99.75" x14ac:dyDescent="0.2">
      <c r="A198" s="149" t="s">
        <v>172</v>
      </c>
      <c r="B198" s="149" t="s">
        <v>2051</v>
      </c>
      <c r="C198" s="145" t="s">
        <v>526</v>
      </c>
      <c r="D198" s="3">
        <v>1</v>
      </c>
      <c r="E198" s="141">
        <v>383.44</v>
      </c>
      <c r="F198" s="141">
        <v>0</v>
      </c>
      <c r="G198" s="140">
        <v>383</v>
      </c>
      <c r="H198" s="140">
        <v>0</v>
      </c>
      <c r="I198" s="142">
        <v>0</v>
      </c>
      <c r="J198" s="141">
        <v>0</v>
      </c>
      <c r="K198" s="141">
        <v>0</v>
      </c>
      <c r="T198">
        <v>383</v>
      </c>
      <c r="U198">
        <v>383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</row>
    <row r="199" spans="1:28" ht="14.25" x14ac:dyDescent="0.2">
      <c r="C199" s="35" t="s">
        <v>158</v>
      </c>
      <c r="D199" s="3"/>
      <c r="E199" s="139">
        <v>0</v>
      </c>
      <c r="F199" s="139">
        <v>0</v>
      </c>
      <c r="G199" s="140"/>
      <c r="H199" s="140"/>
      <c r="I199" s="140">
        <v>0</v>
      </c>
      <c r="J199" s="139">
        <v>0</v>
      </c>
      <c r="K199" s="139">
        <v>0</v>
      </c>
    </row>
    <row r="200" spans="1:28" ht="39.75" x14ac:dyDescent="0.2">
      <c r="A200" s="149" t="s">
        <v>174</v>
      </c>
      <c r="B200" s="149" t="s">
        <v>1146</v>
      </c>
      <c r="C200" s="145" t="s">
        <v>1908</v>
      </c>
      <c r="D200" s="3">
        <v>1</v>
      </c>
      <c r="E200" s="141">
        <v>785.94</v>
      </c>
      <c r="F200" s="141">
        <v>0</v>
      </c>
      <c r="G200" s="140">
        <v>786</v>
      </c>
      <c r="H200" s="140">
        <v>0</v>
      </c>
      <c r="I200" s="142">
        <v>0</v>
      </c>
      <c r="J200" s="141">
        <v>0</v>
      </c>
      <c r="K200" s="141">
        <v>0</v>
      </c>
      <c r="T200">
        <v>786</v>
      </c>
      <c r="U200">
        <v>786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</row>
    <row r="201" spans="1:28" ht="14.25" x14ac:dyDescent="0.2">
      <c r="C201" s="35" t="s">
        <v>527</v>
      </c>
      <c r="D201" s="3"/>
      <c r="E201" s="139">
        <v>0</v>
      </c>
      <c r="F201" s="139">
        <v>0</v>
      </c>
      <c r="G201" s="140"/>
      <c r="H201" s="140"/>
      <c r="I201" s="140">
        <v>0</v>
      </c>
      <c r="J201" s="139">
        <v>0</v>
      </c>
      <c r="K201" s="139">
        <v>0</v>
      </c>
    </row>
    <row r="202" spans="1:28" ht="99.75" x14ac:dyDescent="0.2">
      <c r="A202" s="149" t="s">
        <v>176</v>
      </c>
      <c r="B202" s="149" t="s">
        <v>2052</v>
      </c>
      <c r="C202" s="145" t="s">
        <v>528</v>
      </c>
      <c r="D202" s="3">
        <v>1</v>
      </c>
      <c r="E202" s="141">
        <v>152.44</v>
      </c>
      <c r="F202" s="141">
        <v>9.3000000000000007</v>
      </c>
      <c r="G202" s="140">
        <v>153</v>
      </c>
      <c r="H202" s="140">
        <v>46</v>
      </c>
      <c r="I202" s="142">
        <v>9</v>
      </c>
      <c r="J202" s="141">
        <v>5.15</v>
      </c>
      <c r="K202" s="141">
        <v>5.15</v>
      </c>
      <c r="T202">
        <v>219</v>
      </c>
      <c r="U202">
        <v>98</v>
      </c>
      <c r="V202">
        <v>46</v>
      </c>
      <c r="W202">
        <v>9</v>
      </c>
      <c r="X202">
        <v>1</v>
      </c>
      <c r="Y202">
        <v>5.15</v>
      </c>
      <c r="Z202">
        <v>7.0000000000000007E-2</v>
      </c>
      <c r="AA202">
        <v>38</v>
      </c>
      <c r="AB202">
        <v>28</v>
      </c>
    </row>
    <row r="203" spans="1:28" ht="14.25" x14ac:dyDescent="0.2">
      <c r="C203" s="35" t="s">
        <v>158</v>
      </c>
      <c r="D203" s="3"/>
      <c r="E203" s="139">
        <v>45.63</v>
      </c>
      <c r="F203" s="139">
        <v>0.89</v>
      </c>
      <c r="G203" s="140"/>
      <c r="H203" s="140"/>
      <c r="I203" s="140">
        <v>1</v>
      </c>
      <c r="J203" s="139">
        <v>7.0000000000000007E-2</v>
      </c>
      <c r="K203" s="139">
        <v>7.0000000000000007E-2</v>
      </c>
    </row>
    <row r="204" spans="1:28" x14ac:dyDescent="0.2">
      <c r="C204" s="20" t="s">
        <v>89</v>
      </c>
      <c r="D204" s="37">
        <v>80</v>
      </c>
      <c r="E204" s="144">
        <v>37.216000000000001</v>
      </c>
      <c r="F204" s="37"/>
      <c r="G204" s="143">
        <v>38</v>
      </c>
      <c r="H204" s="37" t="s">
        <v>222</v>
      </c>
      <c r="I204" s="37"/>
      <c r="J204" s="37"/>
      <c r="K204" s="37"/>
    </row>
    <row r="205" spans="1:28" x14ac:dyDescent="0.2">
      <c r="C205" s="20" t="s">
        <v>92</v>
      </c>
      <c r="D205" s="37">
        <v>60</v>
      </c>
      <c r="E205" s="144">
        <v>27.912000000000003</v>
      </c>
      <c r="F205" s="37"/>
      <c r="G205" s="143">
        <v>28</v>
      </c>
      <c r="H205" s="37" t="s">
        <v>198</v>
      </c>
      <c r="I205" s="37"/>
      <c r="J205" s="37"/>
      <c r="K205" s="37"/>
    </row>
    <row r="206" spans="1:28" x14ac:dyDescent="0.2">
      <c r="C206" s="20" t="s">
        <v>95</v>
      </c>
      <c r="D206" s="37"/>
      <c r="E206" s="144">
        <v>217.56799999999998</v>
      </c>
      <c r="F206" s="37"/>
      <c r="G206" s="143">
        <v>219</v>
      </c>
      <c r="H206" s="37"/>
      <c r="I206" s="37"/>
      <c r="J206" s="37"/>
      <c r="K206" s="37"/>
    </row>
    <row r="207" spans="1:28" ht="54" x14ac:dyDescent="0.2">
      <c r="A207" s="149" t="s">
        <v>177</v>
      </c>
      <c r="B207" s="149" t="s">
        <v>1146</v>
      </c>
      <c r="C207" s="145" t="s">
        <v>1907</v>
      </c>
      <c r="D207" s="3">
        <v>1</v>
      </c>
      <c r="E207" s="141">
        <v>10436.89</v>
      </c>
      <c r="F207" s="141">
        <v>0</v>
      </c>
      <c r="G207" s="140">
        <v>10437</v>
      </c>
      <c r="H207" s="140">
        <v>0</v>
      </c>
      <c r="I207" s="142">
        <v>0</v>
      </c>
      <c r="J207" s="141">
        <v>0</v>
      </c>
      <c r="K207" s="141">
        <v>0</v>
      </c>
      <c r="T207">
        <v>10437</v>
      </c>
      <c r="U207">
        <v>10437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</row>
    <row r="208" spans="1:28" ht="14.25" x14ac:dyDescent="0.2">
      <c r="C208" s="35" t="s">
        <v>527</v>
      </c>
      <c r="D208" s="3"/>
      <c r="E208" s="139">
        <v>0</v>
      </c>
      <c r="F208" s="139">
        <v>0</v>
      </c>
      <c r="G208" s="140"/>
      <c r="H208" s="140"/>
      <c r="I208" s="140">
        <v>0</v>
      </c>
      <c r="J208" s="139">
        <v>0</v>
      </c>
      <c r="K208" s="139">
        <v>0</v>
      </c>
    </row>
    <row r="209" spans="1:28" ht="105" x14ac:dyDescent="0.2">
      <c r="A209" s="149" t="s">
        <v>178</v>
      </c>
      <c r="B209" s="149" t="s">
        <v>2053</v>
      </c>
      <c r="C209" s="145" t="s">
        <v>1906</v>
      </c>
      <c r="D209" s="3">
        <v>1</v>
      </c>
      <c r="E209" s="141">
        <v>17.62</v>
      </c>
      <c r="F209" s="141">
        <v>1.93</v>
      </c>
      <c r="G209" s="140">
        <v>18</v>
      </c>
      <c r="H209" s="140">
        <v>12</v>
      </c>
      <c r="I209" s="142">
        <v>2</v>
      </c>
      <c r="J209" s="141">
        <v>1.292025</v>
      </c>
      <c r="K209" s="141">
        <v>1.292025</v>
      </c>
      <c r="T209">
        <v>40</v>
      </c>
      <c r="U209">
        <v>4</v>
      </c>
      <c r="V209">
        <v>12</v>
      </c>
      <c r="W209">
        <v>2</v>
      </c>
      <c r="X209">
        <v>0</v>
      </c>
      <c r="Y209">
        <v>1.292025</v>
      </c>
      <c r="Z209">
        <v>1.3125000000000001E-2</v>
      </c>
      <c r="AA209">
        <v>14</v>
      </c>
      <c r="AB209">
        <v>8</v>
      </c>
    </row>
    <row r="210" spans="1:28" ht="14.25" x14ac:dyDescent="0.2">
      <c r="C210" s="35" t="s">
        <v>158</v>
      </c>
      <c r="D210" s="3"/>
      <c r="E210" s="139">
        <v>11.59</v>
      </c>
      <c r="F210" s="139">
        <v>0.16</v>
      </c>
      <c r="G210" s="140"/>
      <c r="H210" s="140"/>
      <c r="I210" s="140">
        <v>0</v>
      </c>
      <c r="J210" s="139">
        <v>1.3125000000000001E-2</v>
      </c>
      <c r="K210" s="139">
        <v>1.3125000000000001E-2</v>
      </c>
    </row>
    <row r="211" spans="1:28" x14ac:dyDescent="0.2">
      <c r="C211" s="20" t="s">
        <v>89</v>
      </c>
      <c r="D211" s="37">
        <v>128</v>
      </c>
      <c r="E211" s="144">
        <v>13.536000000000001</v>
      </c>
      <c r="F211" s="37" t="s">
        <v>330</v>
      </c>
      <c r="G211" s="143">
        <v>14</v>
      </c>
      <c r="H211" s="37" t="s">
        <v>331</v>
      </c>
      <c r="I211" s="37"/>
      <c r="J211" s="37"/>
      <c r="K211" s="37"/>
    </row>
    <row r="212" spans="1:28" x14ac:dyDescent="0.2">
      <c r="C212" s="20" t="s">
        <v>92</v>
      </c>
      <c r="D212" s="37">
        <v>83</v>
      </c>
      <c r="E212" s="144">
        <v>8.2896249999999991</v>
      </c>
      <c r="F212" s="37" t="s">
        <v>332</v>
      </c>
      <c r="G212" s="143">
        <v>8</v>
      </c>
      <c r="H212" s="37" t="s">
        <v>333</v>
      </c>
      <c r="I212" s="37"/>
      <c r="J212" s="37"/>
      <c r="K212" s="37"/>
    </row>
    <row r="213" spans="1:28" x14ac:dyDescent="0.2">
      <c r="C213" s="20" t="s">
        <v>95</v>
      </c>
      <c r="D213" s="37"/>
      <c r="E213" s="144">
        <v>39.445625000000007</v>
      </c>
      <c r="F213" s="37"/>
      <c r="G213" s="143">
        <v>40</v>
      </c>
      <c r="H213" s="37"/>
      <c r="I213" s="37"/>
      <c r="J213" s="37"/>
      <c r="K213" s="37"/>
    </row>
    <row r="214" spans="1:28" ht="14.25" x14ac:dyDescent="0.2">
      <c r="A214" s="149" t="s">
        <v>554</v>
      </c>
      <c r="B214" s="149" t="s">
        <v>1146</v>
      </c>
      <c r="C214" s="145" t="s">
        <v>530</v>
      </c>
      <c r="D214" s="3">
        <v>1</v>
      </c>
      <c r="E214" s="141">
        <v>0</v>
      </c>
      <c r="F214" s="141">
        <v>0</v>
      </c>
      <c r="G214" s="140">
        <v>0</v>
      </c>
      <c r="H214" s="140">
        <v>0</v>
      </c>
      <c r="I214" s="142">
        <v>0</v>
      </c>
      <c r="J214" s="141">
        <v>0</v>
      </c>
      <c r="K214" s="141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</row>
    <row r="215" spans="1:28" ht="14.25" x14ac:dyDescent="0.2">
      <c r="C215" s="35" t="s">
        <v>158</v>
      </c>
      <c r="D215" s="3"/>
      <c r="E215" s="139">
        <v>0</v>
      </c>
      <c r="F215" s="139">
        <v>0</v>
      </c>
      <c r="G215" s="140"/>
      <c r="H215" s="140"/>
      <c r="I215" s="140">
        <v>0</v>
      </c>
      <c r="J215" s="139">
        <v>0</v>
      </c>
      <c r="K215" s="139">
        <v>0</v>
      </c>
    </row>
    <row r="216" spans="1:28" ht="99.75" x14ac:dyDescent="0.2">
      <c r="A216" s="149" t="s">
        <v>179</v>
      </c>
      <c r="B216" s="149" t="s">
        <v>2054</v>
      </c>
      <c r="C216" s="145" t="s">
        <v>531</v>
      </c>
      <c r="D216" s="3">
        <v>2.9999999999999997E-4</v>
      </c>
      <c r="E216" s="141">
        <v>485.9</v>
      </c>
      <c r="F216" s="141">
        <v>0</v>
      </c>
      <c r="G216" s="140">
        <v>0</v>
      </c>
      <c r="H216" s="140">
        <v>0</v>
      </c>
      <c r="I216" s="142">
        <v>0</v>
      </c>
      <c r="J216" s="141">
        <v>0</v>
      </c>
      <c r="K216" s="141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</row>
    <row r="217" spans="1:28" ht="14.25" x14ac:dyDescent="0.2">
      <c r="C217" s="35" t="s">
        <v>88</v>
      </c>
      <c r="D217" s="3"/>
      <c r="E217" s="139">
        <v>0</v>
      </c>
      <c r="F217" s="139">
        <v>0</v>
      </c>
      <c r="G217" s="140"/>
      <c r="H217" s="140"/>
      <c r="I217" s="140">
        <v>0</v>
      </c>
      <c r="J217" s="139">
        <v>0</v>
      </c>
      <c r="K217" s="139">
        <v>0</v>
      </c>
    </row>
    <row r="218" spans="1:28" ht="99.75" x14ac:dyDescent="0.2">
      <c r="A218" s="149" t="s">
        <v>181</v>
      </c>
      <c r="B218" s="149" t="s">
        <v>2055</v>
      </c>
      <c r="C218" s="145" t="s">
        <v>532</v>
      </c>
      <c r="D218" s="3">
        <v>1</v>
      </c>
      <c r="E218" s="141">
        <v>170.16</v>
      </c>
      <c r="F218" s="141">
        <v>0</v>
      </c>
      <c r="G218" s="140">
        <v>170</v>
      </c>
      <c r="H218" s="140">
        <v>0</v>
      </c>
      <c r="I218" s="142">
        <v>0</v>
      </c>
      <c r="J218" s="141">
        <v>0</v>
      </c>
      <c r="K218" s="141">
        <v>0</v>
      </c>
      <c r="T218">
        <v>170</v>
      </c>
      <c r="U218">
        <v>170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</row>
    <row r="219" spans="1:28" ht="14.25" x14ac:dyDescent="0.2">
      <c r="C219" s="35" t="s">
        <v>158</v>
      </c>
      <c r="D219" s="3"/>
      <c r="E219" s="139">
        <v>0</v>
      </c>
      <c r="F219" s="139">
        <v>0</v>
      </c>
      <c r="G219" s="140"/>
      <c r="H219" s="140"/>
      <c r="I219" s="140">
        <v>0</v>
      </c>
      <c r="J219" s="139">
        <v>0</v>
      </c>
      <c r="K219" s="139">
        <v>0</v>
      </c>
    </row>
    <row r="220" spans="1:28" ht="119.25" x14ac:dyDescent="0.2">
      <c r="A220" s="149" t="s">
        <v>183</v>
      </c>
      <c r="B220" s="149" t="s">
        <v>2014</v>
      </c>
      <c r="C220" s="145" t="s">
        <v>1912</v>
      </c>
      <c r="D220" s="3">
        <v>2</v>
      </c>
      <c r="E220" s="141">
        <v>218.91</v>
      </c>
      <c r="F220" s="141">
        <v>4.76</v>
      </c>
      <c r="G220" s="140">
        <v>438</v>
      </c>
      <c r="H220" s="140">
        <v>84</v>
      </c>
      <c r="I220" s="142">
        <v>10</v>
      </c>
      <c r="J220" s="141">
        <v>4.6229999999999993</v>
      </c>
      <c r="K220" s="141">
        <v>9.2459999999999987</v>
      </c>
      <c r="T220">
        <v>594</v>
      </c>
      <c r="U220">
        <v>344</v>
      </c>
      <c r="V220">
        <v>84</v>
      </c>
      <c r="W220">
        <v>10</v>
      </c>
      <c r="X220">
        <v>0</v>
      </c>
      <c r="Y220">
        <v>9.2459999999999987</v>
      </c>
      <c r="Z220">
        <v>2.5000000000000001E-2</v>
      </c>
      <c r="AA220">
        <v>97</v>
      </c>
      <c r="AB220">
        <v>59</v>
      </c>
    </row>
    <row r="221" spans="1:28" ht="14.25" x14ac:dyDescent="0.2">
      <c r="C221" s="35" t="s">
        <v>158</v>
      </c>
      <c r="D221" s="3"/>
      <c r="E221" s="139">
        <v>41.93</v>
      </c>
      <c r="F221" s="139">
        <v>0.15</v>
      </c>
      <c r="G221" s="140"/>
      <c r="H221" s="140"/>
      <c r="I221" s="140">
        <v>0</v>
      </c>
      <c r="J221" s="139">
        <v>1.2500000000000001E-2</v>
      </c>
      <c r="K221" s="139">
        <v>2.5000000000000001E-2</v>
      </c>
    </row>
    <row r="222" spans="1:28" x14ac:dyDescent="0.2">
      <c r="C222" s="20" t="s">
        <v>89</v>
      </c>
      <c r="D222" s="37">
        <v>128</v>
      </c>
      <c r="E222" s="144">
        <v>48.47616</v>
      </c>
      <c r="F222" s="37" t="s">
        <v>330</v>
      </c>
      <c r="G222" s="143">
        <v>97</v>
      </c>
      <c r="H222" s="37" t="s">
        <v>331</v>
      </c>
      <c r="I222" s="37"/>
      <c r="J222" s="37"/>
      <c r="K222" s="37"/>
    </row>
    <row r="223" spans="1:28" x14ac:dyDescent="0.2">
      <c r="C223" s="20" t="s">
        <v>92</v>
      </c>
      <c r="D223" s="37">
        <v>83</v>
      </c>
      <c r="E223" s="144">
        <v>29.687439999999995</v>
      </c>
      <c r="F223" s="37" t="s">
        <v>332</v>
      </c>
      <c r="G223" s="143">
        <v>59</v>
      </c>
      <c r="H223" s="37" t="s">
        <v>333</v>
      </c>
      <c r="I223" s="37"/>
      <c r="J223" s="37"/>
      <c r="K223" s="37"/>
    </row>
    <row r="224" spans="1:28" x14ac:dyDescent="0.2">
      <c r="C224" s="20" t="s">
        <v>95</v>
      </c>
      <c r="D224" s="37"/>
      <c r="E224" s="144">
        <v>297.0736</v>
      </c>
      <c r="F224" s="37"/>
      <c r="G224" s="143">
        <v>594</v>
      </c>
      <c r="H224" s="37"/>
      <c r="I224" s="37"/>
      <c r="J224" s="37"/>
      <c r="K224" s="37"/>
    </row>
    <row r="225" spans="1:28" ht="14.25" x14ac:dyDescent="0.2">
      <c r="A225" s="149" t="s">
        <v>184</v>
      </c>
      <c r="B225" s="149" t="s">
        <v>1146</v>
      </c>
      <c r="C225" s="145" t="s">
        <v>591</v>
      </c>
      <c r="D225" s="3">
        <v>2</v>
      </c>
      <c r="E225" s="141">
        <v>0</v>
      </c>
      <c r="F225" s="141">
        <v>0</v>
      </c>
      <c r="G225" s="140">
        <v>0</v>
      </c>
      <c r="H225" s="140">
        <v>0</v>
      </c>
      <c r="I225" s="142">
        <v>0</v>
      </c>
      <c r="J225" s="141">
        <v>0</v>
      </c>
      <c r="K225" s="141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</row>
    <row r="226" spans="1:28" ht="14.25" x14ac:dyDescent="0.2">
      <c r="C226" s="35" t="s">
        <v>158</v>
      </c>
      <c r="D226" s="3"/>
      <c r="E226" s="139">
        <v>0</v>
      </c>
      <c r="F226" s="139">
        <v>0</v>
      </c>
      <c r="G226" s="140"/>
      <c r="H226" s="140"/>
      <c r="I226" s="140">
        <v>0</v>
      </c>
      <c r="J226" s="139">
        <v>0</v>
      </c>
      <c r="K226" s="139">
        <v>0</v>
      </c>
    </row>
    <row r="227" spans="1:28" ht="99.75" x14ac:dyDescent="0.2">
      <c r="A227" s="149" t="s">
        <v>185</v>
      </c>
      <c r="B227" s="149" t="s">
        <v>2015</v>
      </c>
      <c r="C227" s="145" t="s">
        <v>2061</v>
      </c>
      <c r="D227" s="3">
        <v>2</v>
      </c>
      <c r="E227" s="141">
        <v>1248.18</v>
      </c>
      <c r="F227" s="141">
        <v>0</v>
      </c>
      <c r="G227" s="140">
        <v>2496</v>
      </c>
      <c r="H227" s="140">
        <v>0</v>
      </c>
      <c r="I227" s="142">
        <v>0</v>
      </c>
      <c r="J227" s="141">
        <v>0</v>
      </c>
      <c r="K227" s="141">
        <v>0</v>
      </c>
      <c r="T227">
        <v>2496</v>
      </c>
      <c r="U227">
        <v>2496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</row>
    <row r="228" spans="1:28" ht="14.25" x14ac:dyDescent="0.2">
      <c r="C228" s="35" t="s">
        <v>158</v>
      </c>
      <c r="D228" s="3"/>
      <c r="E228" s="139">
        <v>0</v>
      </c>
      <c r="F228" s="139">
        <v>0</v>
      </c>
      <c r="G228" s="140"/>
      <c r="H228" s="140"/>
      <c r="I228" s="140">
        <v>0</v>
      </c>
      <c r="J228" s="139">
        <v>0</v>
      </c>
      <c r="K228" s="139">
        <v>0</v>
      </c>
    </row>
    <row r="229" spans="1:28" ht="105" x14ac:dyDescent="0.2">
      <c r="A229" s="149" t="s">
        <v>186</v>
      </c>
      <c r="B229" s="149" t="s">
        <v>2053</v>
      </c>
      <c r="C229" s="145" t="s">
        <v>1906</v>
      </c>
      <c r="D229" s="3">
        <v>1</v>
      </c>
      <c r="E229" s="141">
        <v>17.62</v>
      </c>
      <c r="F229" s="141">
        <v>1.93</v>
      </c>
      <c r="G229" s="140">
        <v>18</v>
      </c>
      <c r="H229" s="140">
        <v>12</v>
      </c>
      <c r="I229" s="142">
        <v>2</v>
      </c>
      <c r="J229" s="141">
        <v>1.292025</v>
      </c>
      <c r="K229" s="141">
        <v>1.292025</v>
      </c>
      <c r="T229">
        <v>40</v>
      </c>
      <c r="U229">
        <v>4</v>
      </c>
      <c r="V229">
        <v>12</v>
      </c>
      <c r="W229">
        <v>2</v>
      </c>
      <c r="X229">
        <v>0</v>
      </c>
      <c r="Y229">
        <v>1.292025</v>
      </c>
      <c r="Z229">
        <v>1.3125000000000001E-2</v>
      </c>
      <c r="AA229">
        <v>14</v>
      </c>
      <c r="AB229">
        <v>8</v>
      </c>
    </row>
    <row r="230" spans="1:28" ht="14.25" x14ac:dyDescent="0.2">
      <c r="C230" s="35" t="s">
        <v>158</v>
      </c>
      <c r="D230" s="3"/>
      <c r="E230" s="139">
        <v>11.59</v>
      </c>
      <c r="F230" s="139">
        <v>0.16</v>
      </c>
      <c r="G230" s="140"/>
      <c r="H230" s="140"/>
      <c r="I230" s="140">
        <v>0</v>
      </c>
      <c r="J230" s="139">
        <v>1.3125000000000001E-2</v>
      </c>
      <c r="K230" s="139">
        <v>1.3125000000000001E-2</v>
      </c>
    </row>
    <row r="231" spans="1:28" x14ac:dyDescent="0.2">
      <c r="C231" s="20" t="s">
        <v>89</v>
      </c>
      <c r="D231" s="37">
        <v>128</v>
      </c>
      <c r="E231" s="144">
        <v>13.536000000000001</v>
      </c>
      <c r="F231" s="37" t="s">
        <v>330</v>
      </c>
      <c r="G231" s="143">
        <v>14</v>
      </c>
      <c r="H231" s="37" t="s">
        <v>331</v>
      </c>
      <c r="I231" s="37"/>
      <c r="J231" s="37"/>
      <c r="K231" s="37"/>
    </row>
    <row r="232" spans="1:28" x14ac:dyDescent="0.2">
      <c r="C232" s="20" t="s">
        <v>92</v>
      </c>
      <c r="D232" s="37">
        <v>83</v>
      </c>
      <c r="E232" s="144">
        <v>8.2896249999999991</v>
      </c>
      <c r="F232" s="37" t="s">
        <v>332</v>
      </c>
      <c r="G232" s="143">
        <v>8</v>
      </c>
      <c r="H232" s="37" t="s">
        <v>333</v>
      </c>
      <c r="I232" s="37"/>
      <c r="J232" s="37"/>
      <c r="K232" s="37"/>
    </row>
    <row r="233" spans="1:28" x14ac:dyDescent="0.2">
      <c r="C233" s="20" t="s">
        <v>95</v>
      </c>
      <c r="D233" s="37"/>
      <c r="E233" s="144">
        <v>39.445625000000007</v>
      </c>
      <c r="F233" s="37"/>
      <c r="G233" s="143">
        <v>40</v>
      </c>
      <c r="H233" s="37"/>
      <c r="I233" s="37"/>
      <c r="J233" s="37"/>
      <c r="K233" s="37"/>
    </row>
    <row r="234" spans="1:28" ht="14.25" x14ac:dyDescent="0.2">
      <c r="A234" s="149" t="s">
        <v>555</v>
      </c>
      <c r="B234" s="149" t="s">
        <v>1146</v>
      </c>
      <c r="C234" s="145" t="s">
        <v>530</v>
      </c>
      <c r="D234" s="3">
        <v>1</v>
      </c>
      <c r="E234" s="141">
        <v>0</v>
      </c>
      <c r="F234" s="141">
        <v>0</v>
      </c>
      <c r="G234" s="140">
        <v>0</v>
      </c>
      <c r="H234" s="140">
        <v>0</v>
      </c>
      <c r="I234" s="142">
        <v>0</v>
      </c>
      <c r="J234" s="141">
        <v>0</v>
      </c>
      <c r="K234" s="141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</row>
    <row r="235" spans="1:28" ht="14.25" x14ac:dyDescent="0.2">
      <c r="C235" s="35" t="s">
        <v>158</v>
      </c>
      <c r="D235" s="3"/>
      <c r="E235" s="139">
        <v>0</v>
      </c>
      <c r="F235" s="139">
        <v>0</v>
      </c>
      <c r="G235" s="140"/>
      <c r="H235" s="140"/>
      <c r="I235" s="140">
        <v>0</v>
      </c>
      <c r="J235" s="139">
        <v>0</v>
      </c>
      <c r="K235" s="139">
        <v>0</v>
      </c>
    </row>
    <row r="236" spans="1:28" ht="99.75" x14ac:dyDescent="0.2">
      <c r="A236" s="149" t="s">
        <v>187</v>
      </c>
      <c r="B236" s="149" t="s">
        <v>2062</v>
      </c>
      <c r="C236" s="145" t="s">
        <v>556</v>
      </c>
      <c r="D236" s="3">
        <v>1</v>
      </c>
      <c r="E236" s="141">
        <v>95.75</v>
      </c>
      <c r="F236" s="141">
        <v>0</v>
      </c>
      <c r="G236" s="140">
        <v>96</v>
      </c>
      <c r="H236" s="140">
        <v>0</v>
      </c>
      <c r="I236" s="142">
        <v>0</v>
      </c>
      <c r="J236" s="141">
        <v>0</v>
      </c>
      <c r="K236" s="141">
        <v>0</v>
      </c>
      <c r="T236">
        <v>96</v>
      </c>
      <c r="U236">
        <v>96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</row>
    <row r="237" spans="1:28" ht="14.25" x14ac:dyDescent="0.2">
      <c r="C237" s="35" t="s">
        <v>158</v>
      </c>
      <c r="D237" s="3"/>
      <c r="E237" s="139">
        <v>0</v>
      </c>
      <c r="F237" s="139">
        <v>0</v>
      </c>
      <c r="G237" s="140"/>
      <c r="H237" s="140"/>
      <c r="I237" s="140">
        <v>0</v>
      </c>
      <c r="J237" s="139">
        <v>0</v>
      </c>
      <c r="K237" s="139">
        <v>0</v>
      </c>
    </row>
    <row r="238" spans="1:28" ht="119.25" x14ac:dyDescent="0.2">
      <c r="A238" s="149" t="s">
        <v>189</v>
      </c>
      <c r="B238" s="149" t="s">
        <v>2000</v>
      </c>
      <c r="C238" s="145" t="s">
        <v>1896</v>
      </c>
      <c r="D238" s="3">
        <v>2</v>
      </c>
      <c r="E238" s="141">
        <v>77.86</v>
      </c>
      <c r="F238" s="141">
        <v>1.93</v>
      </c>
      <c r="G238" s="140">
        <v>156</v>
      </c>
      <c r="H238" s="140">
        <v>23</v>
      </c>
      <c r="I238" s="142">
        <v>4</v>
      </c>
      <c r="J238" s="141">
        <v>1.292025</v>
      </c>
      <c r="K238" s="141">
        <v>2.58405</v>
      </c>
      <c r="T238">
        <v>198</v>
      </c>
      <c r="U238">
        <v>129</v>
      </c>
      <c r="V238">
        <v>23</v>
      </c>
      <c r="W238">
        <v>4</v>
      </c>
      <c r="X238">
        <v>0</v>
      </c>
      <c r="Y238">
        <v>2.58405</v>
      </c>
      <c r="Z238">
        <v>2.6250000000000002E-2</v>
      </c>
      <c r="AA238">
        <v>26</v>
      </c>
      <c r="AB238">
        <v>16</v>
      </c>
    </row>
    <row r="239" spans="1:28" ht="14.25" x14ac:dyDescent="0.2">
      <c r="C239" s="35" t="s">
        <v>158</v>
      </c>
      <c r="D239" s="3"/>
      <c r="E239" s="139">
        <v>11.59</v>
      </c>
      <c r="F239" s="139">
        <v>0.16</v>
      </c>
      <c r="G239" s="140"/>
      <c r="H239" s="140"/>
      <c r="I239" s="140">
        <v>0</v>
      </c>
      <c r="J239" s="139">
        <v>1.3125000000000001E-2</v>
      </c>
      <c r="K239" s="139">
        <v>2.6250000000000002E-2</v>
      </c>
    </row>
    <row r="240" spans="1:28" x14ac:dyDescent="0.2">
      <c r="C240" s="20" t="s">
        <v>89</v>
      </c>
      <c r="D240" s="37">
        <v>128</v>
      </c>
      <c r="E240" s="144">
        <v>13.536000000000001</v>
      </c>
      <c r="F240" s="37" t="s">
        <v>330</v>
      </c>
      <c r="G240" s="143">
        <v>26</v>
      </c>
      <c r="H240" s="37" t="s">
        <v>331</v>
      </c>
      <c r="I240" s="37"/>
      <c r="J240" s="37"/>
      <c r="K240" s="37"/>
    </row>
    <row r="241" spans="1:28" x14ac:dyDescent="0.2">
      <c r="C241" s="20" t="s">
        <v>92</v>
      </c>
      <c r="D241" s="37">
        <v>83</v>
      </c>
      <c r="E241" s="144">
        <v>8.2896249999999991</v>
      </c>
      <c r="F241" s="37" t="s">
        <v>332</v>
      </c>
      <c r="G241" s="143">
        <v>16</v>
      </c>
      <c r="H241" s="37" t="s">
        <v>333</v>
      </c>
      <c r="I241" s="37"/>
      <c r="J241" s="37"/>
      <c r="K241" s="37"/>
    </row>
    <row r="242" spans="1:28" x14ac:dyDescent="0.2">
      <c r="C242" s="20" t="s">
        <v>95</v>
      </c>
      <c r="D242" s="37"/>
      <c r="E242" s="144">
        <v>99.685625000000002</v>
      </c>
      <c r="F242" s="37"/>
      <c r="G242" s="143">
        <v>198</v>
      </c>
      <c r="H242" s="37"/>
      <c r="I242" s="37"/>
      <c r="J242" s="37"/>
      <c r="K242" s="37"/>
    </row>
    <row r="243" spans="1:28" ht="133.5" x14ac:dyDescent="0.2">
      <c r="A243" s="149" t="s">
        <v>191</v>
      </c>
      <c r="B243" s="149" t="s">
        <v>1987</v>
      </c>
      <c r="C243" s="145" t="s">
        <v>1894</v>
      </c>
      <c r="D243" s="3">
        <v>0.23799999999999999</v>
      </c>
      <c r="E243" s="141">
        <v>2045.99</v>
      </c>
      <c r="F243" s="141">
        <v>123.7</v>
      </c>
      <c r="G243" s="140">
        <v>486</v>
      </c>
      <c r="H243" s="140">
        <v>354</v>
      </c>
      <c r="I243" s="142">
        <v>29</v>
      </c>
      <c r="J243" s="141">
        <v>170.25749999999999</v>
      </c>
      <c r="K243" s="141">
        <v>40.521284999999999</v>
      </c>
      <c r="T243">
        <v>1151</v>
      </c>
      <c r="U243">
        <v>103</v>
      </c>
      <c r="V243">
        <v>354</v>
      </c>
      <c r="W243">
        <v>29</v>
      </c>
      <c r="X243">
        <v>4</v>
      </c>
      <c r="Y243">
        <v>40.521284999999999</v>
      </c>
      <c r="Z243">
        <v>0.29363249999999996</v>
      </c>
      <c r="AA243">
        <v>412</v>
      </c>
      <c r="AB243">
        <v>253</v>
      </c>
    </row>
    <row r="244" spans="1:28" ht="14.25" x14ac:dyDescent="0.2">
      <c r="C244" s="35" t="s">
        <v>97</v>
      </c>
      <c r="D244" s="3"/>
      <c r="E244" s="139">
        <v>1488.05</v>
      </c>
      <c r="F244" s="139">
        <v>15.26</v>
      </c>
      <c r="G244" s="140"/>
      <c r="H244" s="140"/>
      <c r="I244" s="140">
        <v>4</v>
      </c>
      <c r="J244" s="139">
        <v>1.2337499999999999</v>
      </c>
      <c r="K244" s="139">
        <v>0.29363249999999996</v>
      </c>
    </row>
    <row r="245" spans="1:28" ht="25.5" x14ac:dyDescent="0.2">
      <c r="C245" s="36" t="s">
        <v>557</v>
      </c>
    </row>
    <row r="246" spans="1:28" x14ac:dyDescent="0.2">
      <c r="C246" s="20" t="s">
        <v>89</v>
      </c>
      <c r="D246" s="37">
        <v>128</v>
      </c>
      <c r="E246" s="144">
        <v>1731.81312</v>
      </c>
      <c r="F246" s="37" t="s">
        <v>330</v>
      </c>
      <c r="G246" s="143">
        <v>412</v>
      </c>
      <c r="H246" s="37" t="s">
        <v>331</v>
      </c>
      <c r="I246" s="37"/>
      <c r="J246" s="37"/>
      <c r="K246" s="37"/>
    </row>
    <row r="247" spans="1:28" x14ac:dyDescent="0.2">
      <c r="C247" s="20" t="s">
        <v>92</v>
      </c>
      <c r="D247" s="37">
        <v>83</v>
      </c>
      <c r="E247" s="144">
        <v>1060.5852050000001</v>
      </c>
      <c r="F247" s="37" t="s">
        <v>332</v>
      </c>
      <c r="G247" s="143">
        <v>253</v>
      </c>
      <c r="H247" s="37" t="s">
        <v>333</v>
      </c>
      <c r="I247" s="37"/>
      <c r="J247" s="37"/>
      <c r="K247" s="37"/>
    </row>
    <row r="248" spans="1:28" x14ac:dyDescent="0.2">
      <c r="C248" s="20" t="s">
        <v>95</v>
      </c>
      <c r="D248" s="37"/>
      <c r="E248" s="144">
        <v>4838.3883249999999</v>
      </c>
      <c r="F248" s="37"/>
      <c r="G248" s="143">
        <v>1151</v>
      </c>
      <c r="H248" s="37"/>
      <c r="I248" s="37"/>
      <c r="J248" s="37"/>
      <c r="K248" s="37"/>
    </row>
    <row r="249" spans="1:28" ht="14.25" x14ac:dyDescent="0.2">
      <c r="A249" s="149" t="s">
        <v>558</v>
      </c>
      <c r="B249" s="149" t="s">
        <v>1146</v>
      </c>
      <c r="C249" s="145" t="s">
        <v>535</v>
      </c>
      <c r="D249" s="3">
        <v>23.8</v>
      </c>
      <c r="E249" s="141">
        <v>0</v>
      </c>
      <c r="F249" s="141">
        <v>0</v>
      </c>
      <c r="G249" s="140">
        <v>0</v>
      </c>
      <c r="H249" s="140">
        <v>0</v>
      </c>
      <c r="I249" s="142">
        <v>0</v>
      </c>
      <c r="J249" s="141">
        <v>0</v>
      </c>
      <c r="K249" s="141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</row>
    <row r="250" spans="1:28" ht="14.25" x14ac:dyDescent="0.2">
      <c r="C250" s="35" t="s">
        <v>117</v>
      </c>
      <c r="D250" s="3"/>
      <c r="E250" s="139">
        <v>0</v>
      </c>
      <c r="F250" s="139">
        <v>0</v>
      </c>
      <c r="G250" s="140"/>
      <c r="H250" s="140"/>
      <c r="I250" s="140">
        <v>0</v>
      </c>
      <c r="J250" s="139">
        <v>0</v>
      </c>
      <c r="K250" s="139">
        <v>0</v>
      </c>
    </row>
    <row r="251" spans="1:28" ht="99.75" x14ac:dyDescent="0.2">
      <c r="A251" s="149" t="s">
        <v>192</v>
      </c>
      <c r="B251" s="149" t="s">
        <v>2018</v>
      </c>
      <c r="C251" s="145" t="s">
        <v>540</v>
      </c>
      <c r="D251" s="3">
        <v>3.6</v>
      </c>
      <c r="E251" s="141">
        <v>123.43</v>
      </c>
      <c r="F251" s="141">
        <v>0</v>
      </c>
      <c r="G251" s="140">
        <v>444</v>
      </c>
      <c r="H251" s="140">
        <v>0</v>
      </c>
      <c r="I251" s="142">
        <v>0</v>
      </c>
      <c r="J251" s="141">
        <v>0</v>
      </c>
      <c r="K251" s="141">
        <v>0</v>
      </c>
      <c r="T251">
        <v>444</v>
      </c>
      <c r="U251">
        <v>444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</row>
    <row r="252" spans="1:28" ht="14.25" x14ac:dyDescent="0.2">
      <c r="C252" s="35" t="s">
        <v>117</v>
      </c>
      <c r="D252" s="3"/>
      <c r="E252" s="139">
        <v>0</v>
      </c>
      <c r="F252" s="139">
        <v>0</v>
      </c>
      <c r="G252" s="140"/>
      <c r="H252" s="140"/>
      <c r="I252" s="140">
        <v>0</v>
      </c>
      <c r="J252" s="139">
        <v>0</v>
      </c>
      <c r="K252" s="139">
        <v>0</v>
      </c>
    </row>
    <row r="253" spans="1:28" ht="99.75" x14ac:dyDescent="0.2">
      <c r="A253" s="149" t="s">
        <v>194</v>
      </c>
      <c r="B253" s="149" t="s">
        <v>2019</v>
      </c>
      <c r="C253" s="145" t="s">
        <v>542</v>
      </c>
      <c r="D253" s="3">
        <v>17.5</v>
      </c>
      <c r="E253" s="141">
        <v>133.61000000000001</v>
      </c>
      <c r="F253" s="141">
        <v>0</v>
      </c>
      <c r="G253" s="140">
        <v>2338</v>
      </c>
      <c r="H253" s="140">
        <v>0</v>
      </c>
      <c r="I253" s="142">
        <v>0</v>
      </c>
      <c r="J253" s="141">
        <v>0</v>
      </c>
      <c r="K253" s="141">
        <v>0</v>
      </c>
      <c r="T253">
        <v>2338</v>
      </c>
      <c r="U253">
        <v>2338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</row>
    <row r="254" spans="1:28" ht="14.25" x14ac:dyDescent="0.2">
      <c r="C254" s="35" t="s">
        <v>117</v>
      </c>
      <c r="D254" s="3"/>
      <c r="E254" s="139">
        <v>0</v>
      </c>
      <c r="F254" s="139">
        <v>0</v>
      </c>
      <c r="G254" s="140"/>
      <c r="H254" s="140"/>
      <c r="I254" s="140">
        <v>0</v>
      </c>
      <c r="J254" s="139">
        <v>0</v>
      </c>
      <c r="K254" s="139">
        <v>0</v>
      </c>
    </row>
    <row r="255" spans="1:28" ht="99.75" x14ac:dyDescent="0.2">
      <c r="A255" s="149" t="s">
        <v>195</v>
      </c>
      <c r="B255" s="149" t="s">
        <v>2031</v>
      </c>
      <c r="C255" s="145" t="s">
        <v>543</v>
      </c>
      <c r="D255" s="3">
        <v>0.45</v>
      </c>
      <c r="E255" s="141">
        <v>165.96</v>
      </c>
      <c r="F255" s="141">
        <v>0</v>
      </c>
      <c r="G255" s="140">
        <v>75</v>
      </c>
      <c r="H255" s="140">
        <v>0</v>
      </c>
      <c r="I255" s="142">
        <v>0</v>
      </c>
      <c r="J255" s="141">
        <v>0</v>
      </c>
      <c r="K255" s="141">
        <v>0</v>
      </c>
      <c r="T255">
        <v>75</v>
      </c>
      <c r="U255">
        <v>75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</row>
    <row r="256" spans="1:28" ht="14.25" x14ac:dyDescent="0.2">
      <c r="C256" s="35" t="s">
        <v>117</v>
      </c>
      <c r="D256" s="3"/>
      <c r="E256" s="139">
        <v>0</v>
      </c>
      <c r="F256" s="139">
        <v>0</v>
      </c>
      <c r="G256" s="140"/>
      <c r="H256" s="140"/>
      <c r="I256" s="140">
        <v>0</v>
      </c>
      <c r="J256" s="139">
        <v>0</v>
      </c>
      <c r="K256" s="139">
        <v>0</v>
      </c>
    </row>
    <row r="257" spans="1:28" ht="99.75" x14ac:dyDescent="0.2">
      <c r="A257" s="149" t="s">
        <v>196</v>
      </c>
      <c r="B257" s="149" t="s">
        <v>2004</v>
      </c>
      <c r="C257" s="145" t="s">
        <v>546</v>
      </c>
      <c r="D257" s="3">
        <v>2.2799999999999998</v>
      </c>
      <c r="E257" s="141">
        <v>176.15</v>
      </c>
      <c r="F257" s="141">
        <v>0</v>
      </c>
      <c r="G257" s="140">
        <v>402</v>
      </c>
      <c r="H257" s="140">
        <v>0</v>
      </c>
      <c r="I257" s="142">
        <v>0</v>
      </c>
      <c r="J257" s="141">
        <v>0</v>
      </c>
      <c r="K257" s="141">
        <v>0</v>
      </c>
      <c r="T257">
        <v>402</v>
      </c>
      <c r="U257">
        <v>402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</row>
    <row r="258" spans="1:28" ht="14.25" x14ac:dyDescent="0.2">
      <c r="C258" s="35" t="s">
        <v>117</v>
      </c>
      <c r="D258" s="3"/>
      <c r="E258" s="139">
        <v>0</v>
      </c>
      <c r="F258" s="139">
        <v>0</v>
      </c>
      <c r="G258" s="140"/>
      <c r="H258" s="140"/>
      <c r="I258" s="140">
        <v>0</v>
      </c>
      <c r="J258" s="139">
        <v>0</v>
      </c>
      <c r="K258" s="139">
        <v>0</v>
      </c>
    </row>
    <row r="259" spans="1:28" x14ac:dyDescent="0.2">
      <c r="C259" s="36" t="s">
        <v>559</v>
      </c>
    </row>
    <row r="260" spans="1:28" ht="99.75" x14ac:dyDescent="0.2">
      <c r="A260" s="149" t="s">
        <v>197</v>
      </c>
      <c r="B260" s="149" t="s">
        <v>1986</v>
      </c>
      <c r="C260" s="145" t="s">
        <v>548</v>
      </c>
      <c r="D260" s="3">
        <v>4.0000000000000001E-3</v>
      </c>
      <c r="E260" s="141">
        <v>12676.79</v>
      </c>
      <c r="F260" s="141">
        <v>0</v>
      </c>
      <c r="G260" s="140">
        <v>51</v>
      </c>
      <c r="H260" s="140">
        <v>0</v>
      </c>
      <c r="I260" s="142">
        <v>0</v>
      </c>
      <c r="J260" s="141">
        <v>0</v>
      </c>
      <c r="K260" s="141">
        <v>0</v>
      </c>
      <c r="T260">
        <v>51</v>
      </c>
      <c r="U260">
        <v>51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</row>
    <row r="261" spans="1:28" ht="14.25" x14ac:dyDescent="0.2">
      <c r="C261" s="35" t="s">
        <v>99</v>
      </c>
      <c r="D261" s="3"/>
      <c r="E261" s="139">
        <v>0</v>
      </c>
      <c r="F261" s="139">
        <v>0</v>
      </c>
      <c r="G261" s="140"/>
      <c r="H261" s="140"/>
      <c r="I261" s="140">
        <v>0</v>
      </c>
      <c r="J261" s="139">
        <v>0</v>
      </c>
      <c r="K261" s="139">
        <v>0</v>
      </c>
    </row>
    <row r="262" spans="1:28" x14ac:dyDescent="0.2">
      <c r="C262" s="36" t="s">
        <v>560</v>
      </c>
    </row>
    <row r="264" spans="1:28" ht="15" x14ac:dyDescent="0.25">
      <c r="A264" s="4"/>
      <c r="B264" s="4"/>
      <c r="C264" s="187" t="s">
        <v>561</v>
      </c>
      <c r="D264" s="187"/>
      <c r="E264" s="187"/>
      <c r="F264" s="187"/>
      <c r="G264" s="136">
        <f>IF(SUM(T150:T263)=0, "-", SUM(T150:T263))</f>
        <v>43396</v>
      </c>
      <c r="H264" s="136">
        <f>IF(SUM(V150:V263)=0, "-", SUM(V150:V263))</f>
        <v>1057</v>
      </c>
      <c r="I264" s="138">
        <f>IF(SUM(W150:W263)=0, "-", SUM(W150:W263))</f>
        <v>177</v>
      </c>
      <c r="J264" s="136"/>
      <c r="K264" s="137">
        <f>IF(SUM(Y150:Y263)=0, "-", SUM(Y150:Y263))</f>
        <v>117.07853499999999</v>
      </c>
    </row>
    <row r="265" spans="1:28" ht="15" x14ac:dyDescent="0.25">
      <c r="A265" s="4"/>
      <c r="B265" s="4"/>
      <c r="C265" s="4"/>
      <c r="D265" s="4"/>
      <c r="E265" s="4"/>
      <c r="F265" s="4"/>
      <c r="G265" s="136"/>
      <c r="H265" s="136"/>
      <c r="I265" s="136">
        <f>IF(SUM(X150:X263)=0, "-", SUM(X150:X263))</f>
        <v>13</v>
      </c>
      <c r="J265" s="136"/>
      <c r="K265" s="135">
        <f>IF(SUM(Z150:Z263)=0, "-", SUM(Z150:Z263))</f>
        <v>1.0959825000000001</v>
      </c>
    </row>
    <row r="268" spans="1:28" ht="14.25" x14ac:dyDescent="0.2">
      <c r="C268" s="183" t="s">
        <v>127</v>
      </c>
      <c r="D268" s="183"/>
      <c r="E268" s="183"/>
      <c r="F268" s="183"/>
      <c r="G268" s="183"/>
      <c r="H268" s="172">
        <v>1057</v>
      </c>
      <c r="I268" s="172"/>
    </row>
    <row r="269" spans="1:28" ht="14.25" x14ac:dyDescent="0.2">
      <c r="C269" s="183" t="s">
        <v>128</v>
      </c>
      <c r="D269" s="183"/>
      <c r="E269" s="183"/>
      <c r="F269" s="183"/>
      <c r="G269" s="183"/>
      <c r="H269" s="172">
        <v>177</v>
      </c>
      <c r="I269" s="172"/>
    </row>
    <row r="270" spans="1:28" ht="14.25" x14ac:dyDescent="0.2">
      <c r="C270" s="183" t="s">
        <v>129</v>
      </c>
      <c r="D270" s="183"/>
      <c r="E270" s="183"/>
      <c r="F270" s="183"/>
      <c r="G270" s="183"/>
      <c r="H270" s="172">
        <v>40219</v>
      </c>
      <c r="I270" s="172"/>
    </row>
    <row r="271" spans="1:28" ht="14.25" x14ac:dyDescent="0.2">
      <c r="C271" s="183" t="s">
        <v>130</v>
      </c>
      <c r="D271" s="183"/>
      <c r="E271" s="183"/>
      <c r="F271" s="183"/>
      <c r="G271" s="183"/>
      <c r="H271" s="172">
        <v>1199</v>
      </c>
      <c r="I271" s="172"/>
    </row>
    <row r="272" spans="1:28" ht="14.25" x14ac:dyDescent="0.2">
      <c r="C272" s="183" t="s">
        <v>131</v>
      </c>
      <c r="D272" s="183"/>
      <c r="E272" s="183"/>
      <c r="F272" s="183"/>
      <c r="G272" s="183"/>
      <c r="H272" s="172">
        <v>744</v>
      </c>
      <c r="I272" s="172"/>
    </row>
    <row r="273" spans="1:28" ht="14.25" x14ac:dyDescent="0.2">
      <c r="C273" s="183" t="s">
        <v>134</v>
      </c>
      <c r="D273" s="183"/>
      <c r="E273" s="183"/>
      <c r="F273" s="183"/>
      <c r="G273" s="183"/>
      <c r="H273" s="172">
        <v>43396</v>
      </c>
      <c r="I273" s="172"/>
    </row>
    <row r="275" spans="1:28" ht="16.5" x14ac:dyDescent="0.25">
      <c r="A275" s="186" t="s">
        <v>562</v>
      </c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</row>
    <row r="276" spans="1:28" ht="133.5" x14ac:dyDescent="0.2">
      <c r="A276" s="149" t="s">
        <v>198</v>
      </c>
      <c r="B276" s="149" t="s">
        <v>2035</v>
      </c>
      <c r="C276" s="145" t="s">
        <v>1911</v>
      </c>
      <c r="D276" s="3">
        <v>1</v>
      </c>
      <c r="E276" s="141">
        <v>737.68</v>
      </c>
      <c r="F276" s="141">
        <v>117.36</v>
      </c>
      <c r="G276" s="140">
        <v>737</v>
      </c>
      <c r="H276" s="140">
        <v>423</v>
      </c>
      <c r="I276" s="142">
        <v>117</v>
      </c>
      <c r="J276" s="141">
        <v>46.114999999999995</v>
      </c>
      <c r="K276" s="141">
        <v>46.114999999999995</v>
      </c>
      <c r="T276">
        <v>1538</v>
      </c>
      <c r="U276">
        <v>197</v>
      </c>
      <c r="V276">
        <v>423</v>
      </c>
      <c r="W276">
        <v>117</v>
      </c>
      <c r="X276">
        <v>8</v>
      </c>
      <c r="Y276">
        <v>46.114999999999995</v>
      </c>
      <c r="Z276">
        <v>0.625</v>
      </c>
      <c r="AA276">
        <v>497</v>
      </c>
      <c r="AB276">
        <v>304</v>
      </c>
    </row>
    <row r="277" spans="1:28" ht="14.25" x14ac:dyDescent="0.2">
      <c r="C277" s="35" t="s">
        <v>158</v>
      </c>
      <c r="D277" s="3"/>
      <c r="E277" s="139">
        <v>423.34</v>
      </c>
      <c r="F277" s="139">
        <v>7.73</v>
      </c>
      <c r="G277" s="140"/>
      <c r="H277" s="140"/>
      <c r="I277" s="140">
        <v>8</v>
      </c>
      <c r="J277" s="139">
        <v>0.625</v>
      </c>
      <c r="K277" s="139">
        <v>0.625</v>
      </c>
    </row>
    <row r="278" spans="1:28" x14ac:dyDescent="0.2">
      <c r="C278" s="20" t="s">
        <v>89</v>
      </c>
      <c r="D278" s="37">
        <v>128</v>
      </c>
      <c r="E278" s="144">
        <v>496.59264000000002</v>
      </c>
      <c r="F278" s="37" t="s">
        <v>330</v>
      </c>
      <c r="G278" s="143">
        <v>497</v>
      </c>
      <c r="H278" s="37" t="s">
        <v>331</v>
      </c>
      <c r="I278" s="37"/>
      <c r="J278" s="37"/>
      <c r="K278" s="37"/>
    </row>
    <row r="279" spans="1:28" x14ac:dyDescent="0.2">
      <c r="C279" s="20" t="s">
        <v>92</v>
      </c>
      <c r="D279" s="37">
        <v>83</v>
      </c>
      <c r="E279" s="144">
        <v>304.11988500000001</v>
      </c>
      <c r="F279" s="37" t="s">
        <v>332</v>
      </c>
      <c r="G279" s="143">
        <v>304</v>
      </c>
      <c r="H279" s="37" t="s">
        <v>333</v>
      </c>
      <c r="I279" s="37"/>
      <c r="J279" s="37"/>
      <c r="K279" s="37"/>
    </row>
    <row r="280" spans="1:28" x14ac:dyDescent="0.2">
      <c r="C280" s="20" t="s">
        <v>95</v>
      </c>
      <c r="D280" s="37"/>
      <c r="E280" s="144">
        <v>1538.392525</v>
      </c>
      <c r="F280" s="37"/>
      <c r="G280" s="143">
        <v>1538</v>
      </c>
      <c r="H280" s="37"/>
      <c r="I280" s="37"/>
      <c r="J280" s="37"/>
      <c r="K280" s="37"/>
    </row>
    <row r="281" spans="1:28" ht="99.75" x14ac:dyDescent="0.2">
      <c r="A281" s="149" t="s">
        <v>199</v>
      </c>
      <c r="B281" s="149" t="s">
        <v>2036</v>
      </c>
      <c r="C281" s="145" t="s">
        <v>563</v>
      </c>
      <c r="D281" s="3">
        <v>1</v>
      </c>
      <c r="E281" s="141">
        <v>42054.89</v>
      </c>
      <c r="F281" s="141">
        <v>0</v>
      </c>
      <c r="G281" s="140">
        <v>42055</v>
      </c>
      <c r="H281" s="140">
        <v>0</v>
      </c>
      <c r="I281" s="142">
        <v>0</v>
      </c>
      <c r="J281" s="141">
        <v>0</v>
      </c>
      <c r="K281" s="141">
        <v>0</v>
      </c>
      <c r="T281">
        <v>42055</v>
      </c>
      <c r="U281">
        <v>42055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</row>
    <row r="282" spans="1:28" ht="14.25" x14ac:dyDescent="0.2">
      <c r="C282" s="35" t="s">
        <v>158</v>
      </c>
      <c r="D282" s="3"/>
      <c r="E282" s="139">
        <v>0</v>
      </c>
      <c r="F282" s="139">
        <v>0</v>
      </c>
      <c r="G282" s="140"/>
      <c r="H282" s="140"/>
      <c r="I282" s="140">
        <v>0</v>
      </c>
      <c r="J282" s="139">
        <v>0</v>
      </c>
      <c r="K282" s="139">
        <v>0</v>
      </c>
    </row>
    <row r="283" spans="1:28" ht="99.75" x14ac:dyDescent="0.2">
      <c r="A283" s="149" t="s">
        <v>110</v>
      </c>
      <c r="B283" s="149" t="s">
        <v>2037</v>
      </c>
      <c r="C283" s="145" t="s">
        <v>2038</v>
      </c>
      <c r="D283" s="3">
        <v>1</v>
      </c>
      <c r="E283" s="141">
        <v>13.54</v>
      </c>
      <c r="F283" s="141">
        <v>1.88</v>
      </c>
      <c r="G283" s="140">
        <v>14</v>
      </c>
      <c r="H283" s="140">
        <v>11</v>
      </c>
      <c r="I283" s="142">
        <v>2</v>
      </c>
      <c r="J283" s="141">
        <v>1.03</v>
      </c>
      <c r="K283" s="141">
        <v>1.03</v>
      </c>
      <c r="T283">
        <v>30</v>
      </c>
      <c r="U283">
        <v>1</v>
      </c>
      <c r="V283">
        <v>11</v>
      </c>
      <c r="W283">
        <v>2</v>
      </c>
      <c r="X283">
        <v>0</v>
      </c>
      <c r="Y283">
        <v>1.03</v>
      </c>
      <c r="Z283">
        <v>0.01</v>
      </c>
      <c r="AA283">
        <v>9</v>
      </c>
      <c r="AB283">
        <v>7</v>
      </c>
    </row>
    <row r="284" spans="1:28" ht="14.25" x14ac:dyDescent="0.2">
      <c r="C284" s="35" t="s">
        <v>2039</v>
      </c>
      <c r="D284" s="3"/>
      <c r="E284" s="139">
        <v>10.82</v>
      </c>
      <c r="F284" s="139">
        <v>0.12</v>
      </c>
      <c r="G284" s="140"/>
      <c r="H284" s="140"/>
      <c r="I284" s="140">
        <v>0</v>
      </c>
      <c r="J284" s="139">
        <v>0.01</v>
      </c>
      <c r="K284" s="139">
        <v>0.01</v>
      </c>
    </row>
    <row r="285" spans="1:28" x14ac:dyDescent="0.2">
      <c r="C285" s="20" t="s">
        <v>89</v>
      </c>
      <c r="D285" s="37">
        <v>80</v>
      </c>
      <c r="E285" s="144">
        <v>8.7519999999999989</v>
      </c>
      <c r="F285" s="37"/>
      <c r="G285" s="143">
        <v>9</v>
      </c>
      <c r="H285" s="37" t="s">
        <v>222</v>
      </c>
      <c r="I285" s="37"/>
      <c r="J285" s="37"/>
      <c r="K285" s="37"/>
    </row>
    <row r="286" spans="1:28" x14ac:dyDescent="0.2">
      <c r="C286" s="20" t="s">
        <v>92</v>
      </c>
      <c r="D286" s="37">
        <v>60</v>
      </c>
      <c r="E286" s="144">
        <v>6.5640000000000001</v>
      </c>
      <c r="F286" s="37"/>
      <c r="G286" s="143">
        <v>7</v>
      </c>
      <c r="H286" s="37" t="s">
        <v>198</v>
      </c>
      <c r="I286" s="37"/>
      <c r="J286" s="37"/>
      <c r="K286" s="37"/>
    </row>
    <row r="287" spans="1:28" x14ac:dyDescent="0.2">
      <c r="C287" s="20" t="s">
        <v>95</v>
      </c>
      <c r="D287" s="37"/>
      <c r="E287" s="144">
        <v>28.855999999999998</v>
      </c>
      <c r="F287" s="37"/>
      <c r="G287" s="143">
        <v>30</v>
      </c>
      <c r="H287" s="37"/>
      <c r="I287" s="37"/>
      <c r="J287" s="37"/>
      <c r="K287" s="37"/>
    </row>
    <row r="288" spans="1:28" ht="14.25" x14ac:dyDescent="0.2">
      <c r="A288" s="149" t="s">
        <v>2040</v>
      </c>
      <c r="B288" s="149" t="s">
        <v>1146</v>
      </c>
      <c r="C288" s="145" t="s">
        <v>2041</v>
      </c>
      <c r="D288" s="3">
        <v>1.0999999999999999E-2</v>
      </c>
      <c r="E288" s="141">
        <v>0</v>
      </c>
      <c r="F288" s="141">
        <v>0</v>
      </c>
      <c r="G288" s="140">
        <v>0</v>
      </c>
      <c r="H288" s="140">
        <v>0</v>
      </c>
      <c r="I288" s="142">
        <v>0</v>
      </c>
      <c r="J288" s="141">
        <v>0</v>
      </c>
      <c r="K288" s="141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</row>
    <row r="289" spans="1:28" ht="14.25" x14ac:dyDescent="0.2">
      <c r="C289" s="35" t="s">
        <v>99</v>
      </c>
      <c r="D289" s="3"/>
      <c r="E289" s="139">
        <v>0</v>
      </c>
      <c r="F289" s="139">
        <v>0</v>
      </c>
      <c r="G289" s="140"/>
      <c r="H289" s="140"/>
      <c r="I289" s="140">
        <v>0</v>
      </c>
      <c r="J289" s="139">
        <v>0</v>
      </c>
      <c r="K289" s="139">
        <v>0</v>
      </c>
    </row>
    <row r="290" spans="1:28" ht="128.25" x14ac:dyDescent="0.2">
      <c r="A290" s="149" t="s">
        <v>200</v>
      </c>
      <c r="B290" s="149" t="s">
        <v>2042</v>
      </c>
      <c r="C290" s="145" t="s">
        <v>518</v>
      </c>
      <c r="D290" s="3">
        <v>1</v>
      </c>
      <c r="E290" s="141">
        <v>6423.8</v>
      </c>
      <c r="F290" s="141">
        <v>0</v>
      </c>
      <c r="G290" s="140">
        <v>6424</v>
      </c>
      <c r="H290" s="140">
        <v>0</v>
      </c>
      <c r="I290" s="142">
        <v>0</v>
      </c>
      <c r="J290" s="141">
        <v>0</v>
      </c>
      <c r="K290" s="141">
        <v>0</v>
      </c>
      <c r="T290">
        <v>6424</v>
      </c>
      <c r="U290">
        <v>6424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</row>
    <row r="291" spans="1:28" ht="14.25" x14ac:dyDescent="0.2">
      <c r="C291" s="35" t="s">
        <v>153</v>
      </c>
      <c r="D291" s="3"/>
      <c r="E291" s="139">
        <v>0</v>
      </c>
      <c r="F291" s="139">
        <v>0</v>
      </c>
      <c r="G291" s="140"/>
      <c r="H291" s="140"/>
      <c r="I291" s="140">
        <v>0</v>
      </c>
      <c r="J291" s="139">
        <v>0</v>
      </c>
      <c r="K291" s="139">
        <v>0</v>
      </c>
    </row>
    <row r="292" spans="1:28" ht="133.5" x14ac:dyDescent="0.2">
      <c r="A292" s="149" t="s">
        <v>201</v>
      </c>
      <c r="B292" s="149" t="s">
        <v>2043</v>
      </c>
      <c r="C292" s="145" t="s">
        <v>1910</v>
      </c>
      <c r="D292" s="3">
        <v>1</v>
      </c>
      <c r="E292" s="141">
        <v>28.99</v>
      </c>
      <c r="F292" s="141">
        <v>2.39</v>
      </c>
      <c r="G292" s="140">
        <v>29</v>
      </c>
      <c r="H292" s="140">
        <v>17</v>
      </c>
      <c r="I292" s="142">
        <v>2</v>
      </c>
      <c r="J292" s="141">
        <v>1.8399999999999999</v>
      </c>
      <c r="K292" s="141">
        <v>1.8399999999999999</v>
      </c>
      <c r="T292">
        <v>61</v>
      </c>
      <c r="U292">
        <v>10</v>
      </c>
      <c r="V292">
        <v>17</v>
      </c>
      <c r="W292">
        <v>2</v>
      </c>
      <c r="X292">
        <v>0</v>
      </c>
      <c r="Y292">
        <v>1.8399999999999999</v>
      </c>
      <c r="Z292">
        <v>1.2500000000000001E-2</v>
      </c>
      <c r="AA292">
        <v>20</v>
      </c>
      <c r="AB292">
        <v>12</v>
      </c>
    </row>
    <row r="293" spans="1:28" ht="14.25" x14ac:dyDescent="0.2">
      <c r="C293" s="35" t="s">
        <v>158</v>
      </c>
      <c r="D293" s="3"/>
      <c r="E293" s="139">
        <v>16.5</v>
      </c>
      <c r="F293" s="139">
        <v>0.15</v>
      </c>
      <c r="G293" s="140"/>
      <c r="H293" s="140"/>
      <c r="I293" s="140">
        <v>0</v>
      </c>
      <c r="J293" s="139">
        <v>1.2500000000000001E-2</v>
      </c>
      <c r="K293" s="139">
        <v>1.2500000000000001E-2</v>
      </c>
    </row>
    <row r="294" spans="1:28" x14ac:dyDescent="0.2">
      <c r="C294" s="20" t="s">
        <v>89</v>
      </c>
      <c r="D294" s="37">
        <v>128</v>
      </c>
      <c r="E294" s="144">
        <v>19.180799999999998</v>
      </c>
      <c r="F294" s="37" t="s">
        <v>330</v>
      </c>
      <c r="G294" s="143">
        <v>20</v>
      </c>
      <c r="H294" s="37" t="s">
        <v>331</v>
      </c>
      <c r="I294" s="37"/>
      <c r="J294" s="37"/>
      <c r="K294" s="37"/>
    </row>
    <row r="295" spans="1:28" x14ac:dyDescent="0.2">
      <c r="C295" s="20" t="s">
        <v>92</v>
      </c>
      <c r="D295" s="37">
        <v>83</v>
      </c>
      <c r="E295" s="144">
        <v>11.746574999999998</v>
      </c>
      <c r="F295" s="37" t="s">
        <v>332</v>
      </c>
      <c r="G295" s="143">
        <v>12</v>
      </c>
      <c r="H295" s="37" t="s">
        <v>333</v>
      </c>
      <c r="I295" s="37"/>
      <c r="J295" s="37"/>
      <c r="K295" s="37"/>
    </row>
    <row r="296" spans="1:28" x14ac:dyDescent="0.2">
      <c r="C296" s="20" t="s">
        <v>95</v>
      </c>
      <c r="D296" s="37"/>
      <c r="E296" s="144">
        <v>59.917374999999993</v>
      </c>
      <c r="F296" s="37"/>
      <c r="G296" s="143">
        <v>61</v>
      </c>
      <c r="H296" s="37"/>
      <c r="I296" s="37"/>
      <c r="J296" s="37"/>
      <c r="K296" s="37"/>
    </row>
    <row r="297" spans="1:28" ht="28.5" x14ac:dyDescent="0.2">
      <c r="A297" s="149" t="s">
        <v>564</v>
      </c>
      <c r="B297" s="149" t="s">
        <v>1146</v>
      </c>
      <c r="C297" s="145" t="s">
        <v>519</v>
      </c>
      <c r="D297" s="3">
        <v>1</v>
      </c>
      <c r="E297" s="141">
        <v>0</v>
      </c>
      <c r="F297" s="141">
        <v>0</v>
      </c>
      <c r="G297" s="140">
        <v>0</v>
      </c>
      <c r="H297" s="140">
        <v>0</v>
      </c>
      <c r="I297" s="142">
        <v>0</v>
      </c>
      <c r="J297" s="141">
        <v>0</v>
      </c>
      <c r="K297" s="141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</row>
    <row r="298" spans="1:28" ht="14.25" x14ac:dyDescent="0.2">
      <c r="C298" s="35" t="s">
        <v>158</v>
      </c>
      <c r="D298" s="3"/>
      <c r="E298" s="139">
        <v>0</v>
      </c>
      <c r="F298" s="139">
        <v>0</v>
      </c>
      <c r="G298" s="140"/>
      <c r="H298" s="140"/>
      <c r="I298" s="140">
        <v>0</v>
      </c>
      <c r="J298" s="139">
        <v>0</v>
      </c>
      <c r="K298" s="139">
        <v>0</v>
      </c>
    </row>
    <row r="299" spans="1:28" ht="99.75" x14ac:dyDescent="0.2">
      <c r="A299" s="149" t="s">
        <v>202</v>
      </c>
      <c r="B299" s="149" t="s">
        <v>2044</v>
      </c>
      <c r="C299" s="145" t="s">
        <v>2045</v>
      </c>
      <c r="D299" s="3">
        <v>1</v>
      </c>
      <c r="E299" s="141">
        <v>2536.66</v>
      </c>
      <c r="F299" s="141">
        <v>0</v>
      </c>
      <c r="G299" s="140">
        <v>2537</v>
      </c>
      <c r="H299" s="140">
        <v>0</v>
      </c>
      <c r="I299" s="142">
        <v>0</v>
      </c>
      <c r="J299" s="141">
        <v>0</v>
      </c>
      <c r="K299" s="141">
        <v>0</v>
      </c>
      <c r="T299">
        <v>2537</v>
      </c>
      <c r="U299">
        <v>2537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</row>
    <row r="300" spans="1:28" ht="14.25" x14ac:dyDescent="0.2">
      <c r="C300" s="35" t="s">
        <v>158</v>
      </c>
      <c r="D300" s="3"/>
      <c r="E300" s="139">
        <v>0</v>
      </c>
      <c r="F300" s="139">
        <v>0</v>
      </c>
      <c r="G300" s="140"/>
      <c r="H300" s="140"/>
      <c r="I300" s="140">
        <v>0</v>
      </c>
      <c r="J300" s="139">
        <v>0</v>
      </c>
      <c r="K300" s="139">
        <v>0</v>
      </c>
    </row>
    <row r="301" spans="1:28" ht="105" x14ac:dyDescent="0.2">
      <c r="A301" s="149" t="s">
        <v>203</v>
      </c>
      <c r="B301" s="149" t="s">
        <v>2046</v>
      </c>
      <c r="C301" s="145" t="s">
        <v>1909</v>
      </c>
      <c r="D301" s="3">
        <v>0.56000000000000005</v>
      </c>
      <c r="E301" s="141">
        <v>63.95</v>
      </c>
      <c r="F301" s="141">
        <v>0.87</v>
      </c>
      <c r="G301" s="140">
        <v>35</v>
      </c>
      <c r="H301" s="140">
        <v>34</v>
      </c>
      <c r="I301" s="142">
        <v>0</v>
      </c>
      <c r="J301" s="141">
        <v>6.9431250000000002</v>
      </c>
      <c r="K301" s="141">
        <v>3.8881500000000004</v>
      </c>
      <c r="T301">
        <v>98</v>
      </c>
      <c r="U301">
        <v>1</v>
      </c>
      <c r="V301">
        <v>34</v>
      </c>
      <c r="W301">
        <v>0</v>
      </c>
      <c r="X301">
        <v>0</v>
      </c>
      <c r="Y301">
        <v>3.8881500000000004</v>
      </c>
      <c r="Z301">
        <v>7.3500000000000015E-3</v>
      </c>
      <c r="AA301">
        <v>39</v>
      </c>
      <c r="AB301">
        <v>24</v>
      </c>
    </row>
    <row r="302" spans="1:28" ht="14.25" x14ac:dyDescent="0.2">
      <c r="C302" s="35" t="s">
        <v>117</v>
      </c>
      <c r="D302" s="3"/>
      <c r="E302" s="139">
        <v>60.69</v>
      </c>
      <c r="F302" s="139">
        <v>0.16</v>
      </c>
      <c r="G302" s="140"/>
      <c r="H302" s="140"/>
      <c r="I302" s="140">
        <v>0</v>
      </c>
      <c r="J302" s="139">
        <v>1.3125000000000001E-2</v>
      </c>
      <c r="K302" s="139">
        <v>7.3500000000000015E-3</v>
      </c>
    </row>
    <row r="303" spans="1:28" x14ac:dyDescent="0.2">
      <c r="C303" s="36" t="s">
        <v>520</v>
      </c>
    </row>
    <row r="304" spans="1:28" x14ac:dyDescent="0.2">
      <c r="C304" s="20" t="s">
        <v>89</v>
      </c>
      <c r="D304" s="37">
        <v>128</v>
      </c>
      <c r="E304" s="144">
        <v>70.099199999999996</v>
      </c>
      <c r="F304" s="37" t="s">
        <v>330</v>
      </c>
      <c r="G304" s="143">
        <v>39</v>
      </c>
      <c r="H304" s="37" t="s">
        <v>331</v>
      </c>
      <c r="I304" s="37"/>
      <c r="J304" s="37"/>
      <c r="K304" s="37"/>
    </row>
    <row r="305" spans="1:28" x14ac:dyDescent="0.2">
      <c r="C305" s="20" t="s">
        <v>92</v>
      </c>
      <c r="D305" s="37">
        <v>83</v>
      </c>
      <c r="E305" s="144">
        <v>42.929674999999996</v>
      </c>
      <c r="F305" s="37" t="s">
        <v>332</v>
      </c>
      <c r="G305" s="143">
        <v>24</v>
      </c>
      <c r="H305" s="37" t="s">
        <v>333</v>
      </c>
      <c r="I305" s="37"/>
      <c r="J305" s="37"/>
      <c r="K305" s="37"/>
    </row>
    <row r="306" spans="1:28" x14ac:dyDescent="0.2">
      <c r="C306" s="20" t="s">
        <v>95</v>
      </c>
      <c r="D306" s="37"/>
      <c r="E306" s="144">
        <v>176.97887500000002</v>
      </c>
      <c r="F306" s="37"/>
      <c r="G306" s="143">
        <v>98</v>
      </c>
      <c r="H306" s="37"/>
      <c r="I306" s="37"/>
      <c r="J306" s="37"/>
      <c r="K306" s="37"/>
    </row>
    <row r="307" spans="1:28" ht="14.25" x14ac:dyDescent="0.2">
      <c r="A307" s="149" t="s">
        <v>565</v>
      </c>
      <c r="B307" s="149" t="s">
        <v>1146</v>
      </c>
      <c r="C307" s="145" t="s">
        <v>522</v>
      </c>
      <c r="D307" s="3">
        <v>0.56000000000000005</v>
      </c>
      <c r="E307" s="141">
        <v>0</v>
      </c>
      <c r="F307" s="141">
        <v>0</v>
      </c>
      <c r="G307" s="140">
        <v>0</v>
      </c>
      <c r="H307" s="140">
        <v>0</v>
      </c>
      <c r="I307" s="142">
        <v>0</v>
      </c>
      <c r="J307" s="141">
        <v>0</v>
      </c>
      <c r="K307" s="141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</row>
    <row r="308" spans="1:28" ht="14.25" x14ac:dyDescent="0.2">
      <c r="C308" s="35" t="s">
        <v>117</v>
      </c>
      <c r="D308" s="3"/>
      <c r="E308" s="139">
        <v>0</v>
      </c>
      <c r="F308" s="139">
        <v>0</v>
      </c>
      <c r="G308" s="140"/>
      <c r="H308" s="140"/>
      <c r="I308" s="140">
        <v>0</v>
      </c>
      <c r="J308" s="139">
        <v>0</v>
      </c>
      <c r="K308" s="139">
        <v>0</v>
      </c>
    </row>
    <row r="309" spans="1:28" ht="99.75" x14ac:dyDescent="0.2">
      <c r="A309" s="149" t="s">
        <v>204</v>
      </c>
      <c r="B309" s="149" t="s">
        <v>2047</v>
      </c>
      <c r="C309" s="145" t="s">
        <v>523</v>
      </c>
      <c r="D309" s="3">
        <v>2</v>
      </c>
      <c r="E309" s="141">
        <v>158.43</v>
      </c>
      <c r="F309" s="141">
        <v>0</v>
      </c>
      <c r="G309" s="140">
        <v>317</v>
      </c>
      <c r="H309" s="140">
        <v>0</v>
      </c>
      <c r="I309" s="142">
        <v>0</v>
      </c>
      <c r="J309" s="141">
        <v>0</v>
      </c>
      <c r="K309" s="141">
        <v>0</v>
      </c>
      <c r="T309">
        <v>317</v>
      </c>
      <c r="U309">
        <v>317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</row>
    <row r="310" spans="1:28" ht="14.25" x14ac:dyDescent="0.2">
      <c r="C310" s="35" t="s">
        <v>158</v>
      </c>
      <c r="D310" s="3"/>
      <c r="E310" s="139">
        <v>0</v>
      </c>
      <c r="F310" s="139">
        <v>0</v>
      </c>
      <c r="G310" s="140"/>
      <c r="H310" s="140"/>
      <c r="I310" s="140">
        <v>0</v>
      </c>
      <c r="J310" s="139">
        <v>0</v>
      </c>
      <c r="K310" s="139">
        <v>0</v>
      </c>
    </row>
    <row r="311" spans="1:28" ht="99.75" x14ac:dyDescent="0.2">
      <c r="A311" s="149" t="s">
        <v>136</v>
      </c>
      <c r="B311" s="149" t="s">
        <v>1636</v>
      </c>
      <c r="C311" s="145" t="s">
        <v>517</v>
      </c>
      <c r="D311" s="3">
        <v>4</v>
      </c>
      <c r="E311" s="141">
        <v>11.53</v>
      </c>
      <c r="F311" s="141">
        <v>0</v>
      </c>
      <c r="G311" s="140">
        <v>46</v>
      </c>
      <c r="H311" s="140">
        <v>41</v>
      </c>
      <c r="I311" s="142">
        <v>0</v>
      </c>
      <c r="J311" s="141">
        <v>1.03</v>
      </c>
      <c r="K311" s="141">
        <v>4.12</v>
      </c>
      <c r="T311">
        <v>104</v>
      </c>
      <c r="U311">
        <v>5</v>
      </c>
      <c r="V311">
        <v>41</v>
      </c>
      <c r="W311">
        <v>0</v>
      </c>
      <c r="X311">
        <v>0</v>
      </c>
      <c r="Y311">
        <v>4.12</v>
      </c>
      <c r="Z311">
        <v>0</v>
      </c>
      <c r="AA311">
        <v>33</v>
      </c>
      <c r="AB311">
        <v>25</v>
      </c>
    </row>
    <row r="312" spans="1:28" ht="14.25" x14ac:dyDescent="0.2">
      <c r="C312" s="35" t="s">
        <v>158</v>
      </c>
      <c r="D312" s="3"/>
      <c r="E312" s="139">
        <v>10.220000000000001</v>
      </c>
      <c r="F312" s="139">
        <v>0</v>
      </c>
      <c r="G312" s="140"/>
      <c r="H312" s="140"/>
      <c r="I312" s="140">
        <v>0</v>
      </c>
      <c r="J312" s="139">
        <v>0</v>
      </c>
      <c r="K312" s="139">
        <v>0</v>
      </c>
    </row>
    <row r="313" spans="1:28" x14ac:dyDescent="0.2">
      <c r="C313" s="36" t="s">
        <v>524</v>
      </c>
    </row>
    <row r="314" spans="1:28" x14ac:dyDescent="0.2">
      <c r="C314" s="20" t="s">
        <v>89</v>
      </c>
      <c r="D314" s="37">
        <v>80</v>
      </c>
      <c r="E314" s="144">
        <v>8.1760000000000002</v>
      </c>
      <c r="F314" s="37"/>
      <c r="G314" s="143">
        <v>33</v>
      </c>
      <c r="H314" s="37" t="s">
        <v>222</v>
      </c>
      <c r="I314" s="37"/>
      <c r="J314" s="37"/>
      <c r="K314" s="37"/>
    </row>
    <row r="315" spans="1:28" x14ac:dyDescent="0.2">
      <c r="C315" s="20" t="s">
        <v>92</v>
      </c>
      <c r="D315" s="37">
        <v>60</v>
      </c>
      <c r="E315" s="144">
        <v>6.1320000000000006</v>
      </c>
      <c r="F315" s="37"/>
      <c r="G315" s="143">
        <v>25</v>
      </c>
      <c r="H315" s="37" t="s">
        <v>198</v>
      </c>
      <c r="I315" s="37"/>
      <c r="J315" s="37"/>
      <c r="K315" s="37"/>
    </row>
    <row r="316" spans="1:28" x14ac:dyDescent="0.2">
      <c r="C316" s="20" t="s">
        <v>95</v>
      </c>
      <c r="D316" s="37"/>
      <c r="E316" s="144">
        <v>25.838000000000001</v>
      </c>
      <c r="F316" s="37"/>
      <c r="G316" s="143">
        <v>104</v>
      </c>
      <c r="H316" s="37"/>
      <c r="I316" s="37"/>
      <c r="J316" s="37"/>
      <c r="K316" s="37"/>
    </row>
    <row r="317" spans="1:28" ht="99.75" x14ac:dyDescent="0.2">
      <c r="A317" s="149" t="s">
        <v>205</v>
      </c>
      <c r="B317" s="149" t="s">
        <v>2048</v>
      </c>
      <c r="C317" s="145" t="s">
        <v>2049</v>
      </c>
      <c r="D317" s="3">
        <v>0.1</v>
      </c>
      <c r="E317" s="141">
        <v>560.37</v>
      </c>
      <c r="F317" s="141">
        <v>0</v>
      </c>
      <c r="G317" s="140">
        <v>56</v>
      </c>
      <c r="H317" s="140">
        <v>0</v>
      </c>
      <c r="I317" s="142">
        <v>0</v>
      </c>
      <c r="J317" s="141">
        <v>0</v>
      </c>
      <c r="K317" s="141">
        <v>0</v>
      </c>
      <c r="T317">
        <v>56</v>
      </c>
      <c r="U317">
        <v>56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</row>
    <row r="318" spans="1:28" ht="14.25" x14ac:dyDescent="0.2">
      <c r="C318" s="35" t="s">
        <v>158</v>
      </c>
      <c r="D318" s="3"/>
      <c r="E318" s="139">
        <v>0</v>
      </c>
      <c r="F318" s="139">
        <v>0</v>
      </c>
      <c r="G318" s="140"/>
      <c r="H318" s="140"/>
      <c r="I318" s="140">
        <v>0</v>
      </c>
      <c r="J318" s="139">
        <v>0</v>
      </c>
      <c r="K318" s="139">
        <v>0</v>
      </c>
    </row>
    <row r="319" spans="1:28" x14ac:dyDescent="0.2">
      <c r="C319" s="36" t="s">
        <v>418</v>
      </c>
    </row>
    <row r="320" spans="1:28" ht="99.75" x14ac:dyDescent="0.2">
      <c r="A320" s="149" t="s">
        <v>146</v>
      </c>
      <c r="B320" s="149" t="s">
        <v>2050</v>
      </c>
      <c r="C320" s="145" t="s">
        <v>525</v>
      </c>
      <c r="D320" s="3">
        <v>0.1</v>
      </c>
      <c r="E320" s="141">
        <v>2921.34</v>
      </c>
      <c r="F320" s="141">
        <v>0</v>
      </c>
      <c r="G320" s="140">
        <v>292</v>
      </c>
      <c r="H320" s="140">
        <v>0</v>
      </c>
      <c r="I320" s="142">
        <v>0</v>
      </c>
      <c r="J320" s="141">
        <v>0</v>
      </c>
      <c r="K320" s="141">
        <v>0</v>
      </c>
      <c r="T320">
        <v>292</v>
      </c>
      <c r="U320">
        <v>292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</row>
    <row r="321" spans="1:28" ht="14.25" x14ac:dyDescent="0.2">
      <c r="C321" s="35" t="s">
        <v>173</v>
      </c>
      <c r="D321" s="3"/>
      <c r="E321" s="139">
        <v>0</v>
      </c>
      <c r="F321" s="139">
        <v>0</v>
      </c>
      <c r="G321" s="140"/>
      <c r="H321" s="140"/>
      <c r="I321" s="140">
        <v>0</v>
      </c>
      <c r="J321" s="139">
        <v>0</v>
      </c>
      <c r="K321" s="139">
        <v>0</v>
      </c>
    </row>
    <row r="322" spans="1:28" x14ac:dyDescent="0.2">
      <c r="C322" s="36" t="s">
        <v>418</v>
      </c>
    </row>
    <row r="323" spans="1:28" ht="99.75" x14ac:dyDescent="0.2">
      <c r="A323" s="149" t="s">
        <v>206</v>
      </c>
      <c r="B323" s="149" t="s">
        <v>2051</v>
      </c>
      <c r="C323" s="145" t="s">
        <v>526</v>
      </c>
      <c r="D323" s="3">
        <v>1</v>
      </c>
      <c r="E323" s="141">
        <v>383.44</v>
      </c>
      <c r="F323" s="141">
        <v>0</v>
      </c>
      <c r="G323" s="140">
        <v>383</v>
      </c>
      <c r="H323" s="140">
        <v>0</v>
      </c>
      <c r="I323" s="142">
        <v>0</v>
      </c>
      <c r="J323" s="141">
        <v>0</v>
      </c>
      <c r="K323" s="141">
        <v>0</v>
      </c>
      <c r="T323">
        <v>383</v>
      </c>
      <c r="U323">
        <v>383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</row>
    <row r="324" spans="1:28" ht="14.25" x14ac:dyDescent="0.2">
      <c r="C324" s="35" t="s">
        <v>158</v>
      </c>
      <c r="D324" s="3"/>
      <c r="E324" s="139">
        <v>0</v>
      </c>
      <c r="F324" s="139">
        <v>0</v>
      </c>
      <c r="G324" s="140"/>
      <c r="H324" s="140"/>
      <c r="I324" s="140">
        <v>0</v>
      </c>
      <c r="J324" s="139">
        <v>0</v>
      </c>
      <c r="K324" s="139">
        <v>0</v>
      </c>
    </row>
    <row r="325" spans="1:28" ht="39.75" x14ac:dyDescent="0.2">
      <c r="A325" s="149" t="s">
        <v>207</v>
      </c>
      <c r="B325" s="149" t="s">
        <v>1146</v>
      </c>
      <c r="C325" s="145" t="s">
        <v>1908</v>
      </c>
      <c r="D325" s="3">
        <v>1</v>
      </c>
      <c r="E325" s="141">
        <v>785.94</v>
      </c>
      <c r="F325" s="141">
        <v>0</v>
      </c>
      <c r="G325" s="140">
        <v>786</v>
      </c>
      <c r="H325" s="140">
        <v>0</v>
      </c>
      <c r="I325" s="142">
        <v>0</v>
      </c>
      <c r="J325" s="141">
        <v>0</v>
      </c>
      <c r="K325" s="141">
        <v>0</v>
      </c>
      <c r="T325">
        <v>786</v>
      </c>
      <c r="U325">
        <v>786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</row>
    <row r="326" spans="1:28" ht="14.25" x14ac:dyDescent="0.2">
      <c r="C326" s="35" t="s">
        <v>527</v>
      </c>
      <c r="D326" s="3"/>
      <c r="E326" s="139">
        <v>0</v>
      </c>
      <c r="F326" s="139">
        <v>0</v>
      </c>
      <c r="G326" s="140"/>
      <c r="H326" s="140"/>
      <c r="I326" s="140">
        <v>0</v>
      </c>
      <c r="J326" s="139">
        <v>0</v>
      </c>
      <c r="K326" s="139">
        <v>0</v>
      </c>
    </row>
    <row r="327" spans="1:28" ht="99.75" x14ac:dyDescent="0.2">
      <c r="A327" s="149" t="s">
        <v>212</v>
      </c>
      <c r="B327" s="149" t="s">
        <v>2052</v>
      </c>
      <c r="C327" s="145" t="s">
        <v>528</v>
      </c>
      <c r="D327" s="3">
        <v>1</v>
      </c>
      <c r="E327" s="141">
        <v>152.44</v>
      </c>
      <c r="F327" s="141">
        <v>9.3000000000000007</v>
      </c>
      <c r="G327" s="140">
        <v>153</v>
      </c>
      <c r="H327" s="140">
        <v>46</v>
      </c>
      <c r="I327" s="142">
        <v>9</v>
      </c>
      <c r="J327" s="141">
        <v>5.15</v>
      </c>
      <c r="K327" s="141">
        <v>5.15</v>
      </c>
      <c r="T327">
        <v>219</v>
      </c>
      <c r="U327">
        <v>98</v>
      </c>
      <c r="V327">
        <v>46</v>
      </c>
      <c r="W327">
        <v>9</v>
      </c>
      <c r="X327">
        <v>1</v>
      </c>
      <c r="Y327">
        <v>5.15</v>
      </c>
      <c r="Z327">
        <v>7.0000000000000007E-2</v>
      </c>
      <c r="AA327">
        <v>38</v>
      </c>
      <c r="AB327">
        <v>28</v>
      </c>
    </row>
    <row r="328" spans="1:28" ht="14.25" x14ac:dyDescent="0.2">
      <c r="C328" s="35" t="s">
        <v>158</v>
      </c>
      <c r="D328" s="3"/>
      <c r="E328" s="139">
        <v>45.63</v>
      </c>
      <c r="F328" s="139">
        <v>0.89</v>
      </c>
      <c r="G328" s="140"/>
      <c r="H328" s="140"/>
      <c r="I328" s="140">
        <v>1</v>
      </c>
      <c r="J328" s="139">
        <v>7.0000000000000007E-2</v>
      </c>
      <c r="K328" s="139">
        <v>7.0000000000000007E-2</v>
      </c>
    </row>
    <row r="329" spans="1:28" x14ac:dyDescent="0.2">
      <c r="C329" s="20" t="s">
        <v>89</v>
      </c>
      <c r="D329" s="37">
        <v>80</v>
      </c>
      <c r="E329" s="144">
        <v>37.216000000000001</v>
      </c>
      <c r="F329" s="37"/>
      <c r="G329" s="143">
        <v>38</v>
      </c>
      <c r="H329" s="37" t="s">
        <v>222</v>
      </c>
      <c r="I329" s="37"/>
      <c r="J329" s="37"/>
      <c r="K329" s="37"/>
    </row>
    <row r="330" spans="1:28" x14ac:dyDescent="0.2">
      <c r="C330" s="20" t="s">
        <v>92</v>
      </c>
      <c r="D330" s="37">
        <v>60</v>
      </c>
      <c r="E330" s="144">
        <v>27.912000000000003</v>
      </c>
      <c r="F330" s="37"/>
      <c r="G330" s="143">
        <v>28</v>
      </c>
      <c r="H330" s="37" t="s">
        <v>198</v>
      </c>
      <c r="I330" s="37"/>
      <c r="J330" s="37"/>
      <c r="K330" s="37"/>
    </row>
    <row r="331" spans="1:28" x14ac:dyDescent="0.2">
      <c r="C331" s="20" t="s">
        <v>95</v>
      </c>
      <c r="D331" s="37"/>
      <c r="E331" s="144">
        <v>217.56799999999998</v>
      </c>
      <c r="F331" s="37"/>
      <c r="G331" s="143">
        <v>219</v>
      </c>
      <c r="H331" s="37"/>
      <c r="I331" s="37"/>
      <c r="J331" s="37"/>
      <c r="K331" s="37"/>
    </row>
    <row r="332" spans="1:28" ht="54" x14ac:dyDescent="0.2">
      <c r="A332" s="149" t="s">
        <v>213</v>
      </c>
      <c r="B332" s="149" t="s">
        <v>1146</v>
      </c>
      <c r="C332" s="145" t="s">
        <v>1907</v>
      </c>
      <c r="D332" s="3">
        <v>1</v>
      </c>
      <c r="E332" s="141">
        <v>10436.89</v>
      </c>
      <c r="F332" s="141">
        <v>0</v>
      </c>
      <c r="G332" s="140">
        <v>10437</v>
      </c>
      <c r="H332" s="140">
        <v>0</v>
      </c>
      <c r="I332" s="142">
        <v>0</v>
      </c>
      <c r="J332" s="141">
        <v>0</v>
      </c>
      <c r="K332" s="141">
        <v>0</v>
      </c>
      <c r="T332">
        <v>10437</v>
      </c>
      <c r="U332">
        <v>10437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</row>
    <row r="333" spans="1:28" ht="14.25" x14ac:dyDescent="0.2">
      <c r="C333" s="35" t="s">
        <v>527</v>
      </c>
      <c r="D333" s="3"/>
      <c r="E333" s="139">
        <v>0</v>
      </c>
      <c r="F333" s="139">
        <v>0</v>
      </c>
      <c r="G333" s="140"/>
      <c r="H333" s="140"/>
      <c r="I333" s="140">
        <v>0</v>
      </c>
      <c r="J333" s="139">
        <v>0</v>
      </c>
      <c r="K333" s="139">
        <v>0</v>
      </c>
    </row>
    <row r="334" spans="1:28" ht="105" x14ac:dyDescent="0.2">
      <c r="A334" s="149" t="s">
        <v>215</v>
      </c>
      <c r="B334" s="149" t="s">
        <v>2053</v>
      </c>
      <c r="C334" s="145" t="s">
        <v>1906</v>
      </c>
      <c r="D334" s="3">
        <v>1</v>
      </c>
      <c r="E334" s="141">
        <v>17.62</v>
      </c>
      <c r="F334" s="141">
        <v>1.93</v>
      </c>
      <c r="G334" s="140">
        <v>18</v>
      </c>
      <c r="H334" s="140">
        <v>12</v>
      </c>
      <c r="I334" s="142">
        <v>2</v>
      </c>
      <c r="J334" s="141">
        <v>1.292025</v>
      </c>
      <c r="K334" s="141">
        <v>1.292025</v>
      </c>
      <c r="T334">
        <v>40</v>
      </c>
      <c r="U334">
        <v>4</v>
      </c>
      <c r="V334">
        <v>12</v>
      </c>
      <c r="W334">
        <v>2</v>
      </c>
      <c r="X334">
        <v>0</v>
      </c>
      <c r="Y334">
        <v>1.292025</v>
      </c>
      <c r="Z334">
        <v>1.3125000000000001E-2</v>
      </c>
      <c r="AA334">
        <v>14</v>
      </c>
      <c r="AB334">
        <v>8</v>
      </c>
    </row>
    <row r="335" spans="1:28" ht="14.25" x14ac:dyDescent="0.2">
      <c r="C335" s="35" t="s">
        <v>158</v>
      </c>
      <c r="D335" s="3"/>
      <c r="E335" s="139">
        <v>11.59</v>
      </c>
      <c r="F335" s="139">
        <v>0.16</v>
      </c>
      <c r="G335" s="140"/>
      <c r="H335" s="140"/>
      <c r="I335" s="140">
        <v>0</v>
      </c>
      <c r="J335" s="139">
        <v>1.3125000000000001E-2</v>
      </c>
      <c r="K335" s="139">
        <v>1.3125000000000001E-2</v>
      </c>
    </row>
    <row r="336" spans="1:28" x14ac:dyDescent="0.2">
      <c r="C336" s="20" t="s">
        <v>89</v>
      </c>
      <c r="D336" s="37">
        <v>128</v>
      </c>
      <c r="E336" s="144">
        <v>13.536000000000001</v>
      </c>
      <c r="F336" s="37" t="s">
        <v>330</v>
      </c>
      <c r="G336" s="143">
        <v>14</v>
      </c>
      <c r="H336" s="37" t="s">
        <v>331</v>
      </c>
      <c r="I336" s="37"/>
      <c r="J336" s="37"/>
      <c r="K336" s="37"/>
    </row>
    <row r="337" spans="1:28" x14ac:dyDescent="0.2">
      <c r="C337" s="20" t="s">
        <v>92</v>
      </c>
      <c r="D337" s="37">
        <v>83</v>
      </c>
      <c r="E337" s="144">
        <v>8.2896249999999991</v>
      </c>
      <c r="F337" s="37" t="s">
        <v>332</v>
      </c>
      <c r="G337" s="143">
        <v>8</v>
      </c>
      <c r="H337" s="37" t="s">
        <v>333</v>
      </c>
      <c r="I337" s="37"/>
      <c r="J337" s="37"/>
      <c r="K337" s="37"/>
    </row>
    <row r="338" spans="1:28" x14ac:dyDescent="0.2">
      <c r="C338" s="20" t="s">
        <v>95</v>
      </c>
      <c r="D338" s="37"/>
      <c r="E338" s="144">
        <v>39.445625000000007</v>
      </c>
      <c r="F338" s="37"/>
      <c r="G338" s="143">
        <v>40</v>
      </c>
      <c r="H338" s="37"/>
      <c r="I338" s="37"/>
      <c r="J338" s="37"/>
      <c r="K338" s="37"/>
    </row>
    <row r="339" spans="1:28" ht="14.25" x14ac:dyDescent="0.2">
      <c r="A339" s="149" t="s">
        <v>217</v>
      </c>
      <c r="B339" s="149" t="s">
        <v>1146</v>
      </c>
      <c r="C339" s="145" t="s">
        <v>530</v>
      </c>
      <c r="D339" s="3">
        <v>1</v>
      </c>
      <c r="E339" s="141">
        <v>0</v>
      </c>
      <c r="F339" s="141">
        <v>0</v>
      </c>
      <c r="G339" s="140">
        <v>0</v>
      </c>
      <c r="H339" s="140">
        <v>0</v>
      </c>
      <c r="I339" s="142">
        <v>0</v>
      </c>
      <c r="J339" s="141">
        <v>0</v>
      </c>
      <c r="K339" s="141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</row>
    <row r="340" spans="1:28" ht="14.25" x14ac:dyDescent="0.2">
      <c r="C340" s="35" t="s">
        <v>158</v>
      </c>
      <c r="D340" s="3"/>
      <c r="E340" s="139">
        <v>0</v>
      </c>
      <c r="F340" s="139">
        <v>0</v>
      </c>
      <c r="G340" s="140"/>
      <c r="H340" s="140"/>
      <c r="I340" s="140">
        <v>0</v>
      </c>
      <c r="J340" s="139">
        <v>0</v>
      </c>
      <c r="K340" s="139">
        <v>0</v>
      </c>
    </row>
    <row r="341" spans="1:28" ht="99.75" x14ac:dyDescent="0.2">
      <c r="A341" s="149" t="s">
        <v>218</v>
      </c>
      <c r="B341" s="149" t="s">
        <v>2054</v>
      </c>
      <c r="C341" s="145" t="s">
        <v>531</v>
      </c>
      <c r="D341" s="3">
        <v>2.9999999999999997E-4</v>
      </c>
      <c r="E341" s="141">
        <v>485.9</v>
      </c>
      <c r="F341" s="141">
        <v>0</v>
      </c>
      <c r="G341" s="140">
        <v>0</v>
      </c>
      <c r="H341" s="140">
        <v>0</v>
      </c>
      <c r="I341" s="142">
        <v>0</v>
      </c>
      <c r="J341" s="141">
        <v>0</v>
      </c>
      <c r="K341" s="1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</row>
    <row r="342" spans="1:28" ht="14.25" x14ac:dyDescent="0.2">
      <c r="C342" s="35" t="s">
        <v>88</v>
      </c>
      <c r="D342" s="3"/>
      <c r="E342" s="139">
        <v>0</v>
      </c>
      <c r="F342" s="139">
        <v>0</v>
      </c>
      <c r="G342" s="140"/>
      <c r="H342" s="140"/>
      <c r="I342" s="140">
        <v>0</v>
      </c>
      <c r="J342" s="139">
        <v>0</v>
      </c>
      <c r="K342" s="139">
        <v>0</v>
      </c>
    </row>
    <row r="343" spans="1:28" ht="99.75" x14ac:dyDescent="0.2">
      <c r="A343" s="149" t="s">
        <v>219</v>
      </c>
      <c r="B343" s="149" t="s">
        <v>2055</v>
      </c>
      <c r="C343" s="145" t="s">
        <v>532</v>
      </c>
      <c r="D343" s="3">
        <v>1</v>
      </c>
      <c r="E343" s="141">
        <v>170.16</v>
      </c>
      <c r="F343" s="141">
        <v>0</v>
      </c>
      <c r="G343" s="140">
        <v>170</v>
      </c>
      <c r="H343" s="140">
        <v>0</v>
      </c>
      <c r="I343" s="142">
        <v>0</v>
      </c>
      <c r="J343" s="141">
        <v>0</v>
      </c>
      <c r="K343" s="141">
        <v>0</v>
      </c>
      <c r="T343">
        <v>170</v>
      </c>
      <c r="U343">
        <v>170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</row>
    <row r="344" spans="1:28" ht="14.25" x14ac:dyDescent="0.2">
      <c r="C344" s="35" t="s">
        <v>158</v>
      </c>
      <c r="D344" s="3"/>
      <c r="E344" s="139">
        <v>0</v>
      </c>
      <c r="F344" s="139">
        <v>0</v>
      </c>
      <c r="G344" s="140"/>
      <c r="H344" s="140"/>
      <c r="I344" s="140">
        <v>0</v>
      </c>
      <c r="J344" s="139">
        <v>0</v>
      </c>
      <c r="K344" s="139">
        <v>0</v>
      </c>
    </row>
    <row r="345" spans="1:28" ht="119.25" x14ac:dyDescent="0.2">
      <c r="A345" s="149" t="s">
        <v>220</v>
      </c>
      <c r="B345" s="149" t="s">
        <v>2000</v>
      </c>
      <c r="C345" s="145" t="s">
        <v>1896</v>
      </c>
      <c r="D345" s="3">
        <v>5</v>
      </c>
      <c r="E345" s="141">
        <v>77.86</v>
      </c>
      <c r="F345" s="141">
        <v>1.93</v>
      </c>
      <c r="G345" s="140">
        <v>390</v>
      </c>
      <c r="H345" s="140">
        <v>58</v>
      </c>
      <c r="I345" s="142">
        <v>10</v>
      </c>
      <c r="J345" s="141">
        <v>1.292025</v>
      </c>
      <c r="K345" s="141">
        <v>6.4601249999999997</v>
      </c>
      <c r="T345">
        <v>500</v>
      </c>
      <c r="U345">
        <v>322</v>
      </c>
      <c r="V345">
        <v>58</v>
      </c>
      <c r="W345">
        <v>10</v>
      </c>
      <c r="X345">
        <v>1</v>
      </c>
      <c r="Y345">
        <v>6.4601249999999997</v>
      </c>
      <c r="Z345">
        <v>6.5625000000000003E-2</v>
      </c>
      <c r="AA345">
        <v>68</v>
      </c>
      <c r="AB345">
        <v>42</v>
      </c>
    </row>
    <row r="346" spans="1:28" ht="14.25" x14ac:dyDescent="0.2">
      <c r="C346" s="35" t="s">
        <v>158</v>
      </c>
      <c r="D346" s="3"/>
      <c r="E346" s="139">
        <v>11.59</v>
      </c>
      <c r="F346" s="139">
        <v>0.16</v>
      </c>
      <c r="G346" s="140"/>
      <c r="H346" s="140"/>
      <c r="I346" s="140">
        <v>1</v>
      </c>
      <c r="J346" s="139">
        <v>1.3125000000000001E-2</v>
      </c>
      <c r="K346" s="139">
        <v>6.5625000000000003E-2</v>
      </c>
    </row>
    <row r="347" spans="1:28" x14ac:dyDescent="0.2">
      <c r="C347" s="20" t="s">
        <v>89</v>
      </c>
      <c r="D347" s="37">
        <v>128</v>
      </c>
      <c r="E347" s="144">
        <v>13.536000000000001</v>
      </c>
      <c r="F347" s="37" t="s">
        <v>330</v>
      </c>
      <c r="G347" s="143">
        <v>68</v>
      </c>
      <c r="H347" s="37" t="s">
        <v>331</v>
      </c>
      <c r="I347" s="37"/>
      <c r="J347" s="37"/>
      <c r="K347" s="37"/>
    </row>
    <row r="348" spans="1:28" x14ac:dyDescent="0.2">
      <c r="C348" s="20" t="s">
        <v>92</v>
      </c>
      <c r="D348" s="37">
        <v>83</v>
      </c>
      <c r="E348" s="144">
        <v>8.2896249999999991</v>
      </c>
      <c r="F348" s="37" t="s">
        <v>332</v>
      </c>
      <c r="G348" s="143">
        <v>42</v>
      </c>
      <c r="H348" s="37" t="s">
        <v>333</v>
      </c>
      <c r="I348" s="37"/>
      <c r="J348" s="37"/>
      <c r="K348" s="37"/>
    </row>
    <row r="349" spans="1:28" x14ac:dyDescent="0.2">
      <c r="C349" s="20" t="s">
        <v>95</v>
      </c>
      <c r="D349" s="37"/>
      <c r="E349" s="144">
        <v>99.685625000000002</v>
      </c>
      <c r="F349" s="37"/>
      <c r="G349" s="143">
        <v>500</v>
      </c>
      <c r="H349" s="37"/>
      <c r="I349" s="37"/>
      <c r="J349" s="37"/>
      <c r="K349" s="37"/>
    </row>
    <row r="350" spans="1:28" ht="133.5" x14ac:dyDescent="0.2">
      <c r="A350" s="149" t="s">
        <v>221</v>
      </c>
      <c r="B350" s="149" t="s">
        <v>2056</v>
      </c>
      <c r="C350" s="145" t="s">
        <v>1905</v>
      </c>
      <c r="D350" s="3">
        <v>9.5000000000000001E-2</v>
      </c>
      <c r="E350" s="141">
        <v>1791.4</v>
      </c>
      <c r="F350" s="141">
        <v>114.96</v>
      </c>
      <c r="G350" s="140">
        <v>170</v>
      </c>
      <c r="H350" s="140">
        <v>122</v>
      </c>
      <c r="I350" s="142">
        <v>11</v>
      </c>
      <c r="J350" s="141">
        <v>147.315</v>
      </c>
      <c r="K350" s="141">
        <v>13.994925</v>
      </c>
      <c r="T350">
        <v>399</v>
      </c>
      <c r="U350">
        <v>37</v>
      </c>
      <c r="V350">
        <v>122</v>
      </c>
      <c r="W350">
        <v>11</v>
      </c>
      <c r="X350">
        <v>1</v>
      </c>
      <c r="Y350">
        <v>13.994925</v>
      </c>
      <c r="Z350">
        <v>0.10847812499999999</v>
      </c>
      <c r="AA350">
        <v>142</v>
      </c>
      <c r="AB350">
        <v>87</v>
      </c>
    </row>
    <row r="351" spans="1:28" ht="14.25" x14ac:dyDescent="0.2">
      <c r="C351" s="35" t="s">
        <v>97</v>
      </c>
      <c r="D351" s="3"/>
      <c r="E351" s="139">
        <v>1287.53</v>
      </c>
      <c r="F351" s="139">
        <v>14.12</v>
      </c>
      <c r="G351" s="140"/>
      <c r="H351" s="140"/>
      <c r="I351" s="140">
        <v>1</v>
      </c>
      <c r="J351" s="139">
        <v>1.141875</v>
      </c>
      <c r="K351" s="139">
        <v>0.10847812499999999</v>
      </c>
    </row>
    <row r="352" spans="1:28" x14ac:dyDescent="0.2">
      <c r="C352" s="36" t="s">
        <v>566</v>
      </c>
    </row>
    <row r="353" spans="1:28" x14ac:dyDescent="0.2">
      <c r="C353" s="20" t="s">
        <v>89</v>
      </c>
      <c r="D353" s="37">
        <v>128</v>
      </c>
      <c r="E353" s="144">
        <v>1499.5007999999998</v>
      </c>
      <c r="F353" s="37" t="s">
        <v>330</v>
      </c>
      <c r="G353" s="143">
        <v>142</v>
      </c>
      <c r="H353" s="37" t="s">
        <v>331</v>
      </c>
      <c r="I353" s="37"/>
      <c r="J353" s="37"/>
      <c r="K353" s="37"/>
    </row>
    <row r="354" spans="1:28" x14ac:dyDescent="0.2">
      <c r="C354" s="20" t="s">
        <v>92</v>
      </c>
      <c r="D354" s="37">
        <v>83</v>
      </c>
      <c r="E354" s="144">
        <v>918.31407499999989</v>
      </c>
      <c r="F354" s="37" t="s">
        <v>332</v>
      </c>
      <c r="G354" s="143">
        <v>87</v>
      </c>
      <c r="H354" s="37" t="s">
        <v>333</v>
      </c>
      <c r="I354" s="37"/>
      <c r="J354" s="37"/>
      <c r="K354" s="37"/>
    </row>
    <row r="355" spans="1:28" x14ac:dyDescent="0.2">
      <c r="C355" s="20" t="s">
        <v>95</v>
      </c>
      <c r="D355" s="37"/>
      <c r="E355" s="144">
        <v>4209.2148749999997</v>
      </c>
      <c r="F355" s="37"/>
      <c r="G355" s="143">
        <v>399</v>
      </c>
      <c r="H355" s="37"/>
      <c r="I355" s="37"/>
      <c r="J355" s="37"/>
      <c r="K355" s="37"/>
    </row>
    <row r="356" spans="1:28" ht="14.25" x14ac:dyDescent="0.2">
      <c r="A356" s="149" t="s">
        <v>567</v>
      </c>
      <c r="B356" s="149" t="s">
        <v>1146</v>
      </c>
      <c r="C356" s="145" t="s">
        <v>535</v>
      </c>
      <c r="D356" s="3">
        <v>9.5</v>
      </c>
      <c r="E356" s="141">
        <v>0</v>
      </c>
      <c r="F356" s="141">
        <v>0</v>
      </c>
      <c r="G356" s="140">
        <v>0</v>
      </c>
      <c r="H356" s="140">
        <v>0</v>
      </c>
      <c r="I356" s="142">
        <v>0</v>
      </c>
      <c r="J356" s="141">
        <v>0</v>
      </c>
      <c r="K356" s="141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</row>
    <row r="357" spans="1:28" ht="14.25" x14ac:dyDescent="0.2">
      <c r="C357" s="35" t="s">
        <v>117</v>
      </c>
      <c r="D357" s="3"/>
      <c r="E357" s="139">
        <v>0</v>
      </c>
      <c r="F357" s="139">
        <v>0</v>
      </c>
      <c r="G357" s="140"/>
      <c r="H357" s="140"/>
      <c r="I357" s="140">
        <v>0</v>
      </c>
      <c r="J357" s="139">
        <v>0</v>
      </c>
      <c r="K357" s="139">
        <v>0</v>
      </c>
    </row>
    <row r="358" spans="1:28" ht="99.75" x14ac:dyDescent="0.2">
      <c r="A358" s="149" t="s">
        <v>222</v>
      </c>
      <c r="B358" s="149" t="s">
        <v>2057</v>
      </c>
      <c r="C358" s="145" t="s">
        <v>536</v>
      </c>
      <c r="D358" s="3">
        <v>1.8</v>
      </c>
      <c r="E358" s="141">
        <v>145.11000000000001</v>
      </c>
      <c r="F358" s="141">
        <v>0</v>
      </c>
      <c r="G358" s="140">
        <v>261</v>
      </c>
      <c r="H358" s="140">
        <v>0</v>
      </c>
      <c r="I358" s="142">
        <v>0</v>
      </c>
      <c r="J358" s="141">
        <v>0</v>
      </c>
      <c r="K358" s="141">
        <v>0</v>
      </c>
      <c r="T358">
        <v>261</v>
      </c>
      <c r="U358">
        <v>261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</row>
    <row r="359" spans="1:28" ht="14.25" x14ac:dyDescent="0.2">
      <c r="C359" s="35" t="s">
        <v>117</v>
      </c>
      <c r="D359" s="3"/>
      <c r="E359" s="139">
        <v>0</v>
      </c>
      <c r="F359" s="139">
        <v>0</v>
      </c>
      <c r="G359" s="140"/>
      <c r="H359" s="140"/>
      <c r="I359" s="140">
        <v>0</v>
      </c>
      <c r="J359" s="139">
        <v>0</v>
      </c>
      <c r="K359" s="139">
        <v>0</v>
      </c>
    </row>
    <row r="360" spans="1:28" ht="99.75" x14ac:dyDescent="0.2">
      <c r="A360" s="149" t="s">
        <v>102</v>
      </c>
      <c r="B360" s="149" t="s">
        <v>2058</v>
      </c>
      <c r="C360" s="145" t="s">
        <v>568</v>
      </c>
      <c r="D360" s="3">
        <v>7</v>
      </c>
      <c r="E360" s="141">
        <v>146.6</v>
      </c>
      <c r="F360" s="141">
        <v>0</v>
      </c>
      <c r="G360" s="140">
        <v>1026</v>
      </c>
      <c r="H360" s="140">
        <v>0</v>
      </c>
      <c r="I360" s="142">
        <v>0</v>
      </c>
      <c r="J360" s="141">
        <v>0</v>
      </c>
      <c r="K360" s="141">
        <v>0</v>
      </c>
      <c r="T360">
        <v>1026</v>
      </c>
      <c r="U360">
        <v>1026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</row>
    <row r="361" spans="1:28" ht="14.25" x14ac:dyDescent="0.2">
      <c r="C361" s="35" t="s">
        <v>117</v>
      </c>
      <c r="D361" s="3"/>
      <c r="E361" s="139">
        <v>0</v>
      </c>
      <c r="F361" s="139">
        <v>0</v>
      </c>
      <c r="G361" s="140"/>
      <c r="H361" s="140"/>
      <c r="I361" s="140">
        <v>0</v>
      </c>
      <c r="J361" s="139">
        <v>0</v>
      </c>
      <c r="K361" s="139">
        <v>0</v>
      </c>
    </row>
    <row r="362" spans="1:28" ht="99.75" x14ac:dyDescent="0.2">
      <c r="A362" s="149" t="s">
        <v>109</v>
      </c>
      <c r="B362" s="149" t="s">
        <v>2031</v>
      </c>
      <c r="C362" s="145" t="s">
        <v>543</v>
      </c>
      <c r="D362" s="3">
        <v>0.74</v>
      </c>
      <c r="E362" s="141">
        <v>165.96</v>
      </c>
      <c r="F362" s="141">
        <v>0</v>
      </c>
      <c r="G362" s="140">
        <v>123</v>
      </c>
      <c r="H362" s="140">
        <v>0</v>
      </c>
      <c r="I362" s="142">
        <v>0</v>
      </c>
      <c r="J362" s="141">
        <v>0</v>
      </c>
      <c r="K362" s="141">
        <v>0</v>
      </c>
      <c r="T362">
        <v>123</v>
      </c>
      <c r="U362">
        <v>123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</row>
    <row r="363" spans="1:28" ht="14.25" x14ac:dyDescent="0.2">
      <c r="C363" s="35" t="s">
        <v>117</v>
      </c>
      <c r="D363" s="3"/>
      <c r="E363" s="139">
        <v>0</v>
      </c>
      <c r="F363" s="139">
        <v>0</v>
      </c>
      <c r="G363" s="140"/>
      <c r="H363" s="140"/>
      <c r="I363" s="140">
        <v>0</v>
      </c>
      <c r="J363" s="139">
        <v>0</v>
      </c>
      <c r="K363" s="139">
        <v>0</v>
      </c>
    </row>
    <row r="364" spans="1:28" x14ac:dyDescent="0.2">
      <c r="C364" s="36" t="s">
        <v>569</v>
      </c>
    </row>
    <row r="366" spans="1:28" ht="15" x14ac:dyDescent="0.25">
      <c r="A366" s="4"/>
      <c r="B366" s="4"/>
      <c r="C366" s="187" t="s">
        <v>570</v>
      </c>
      <c r="D366" s="187"/>
      <c r="E366" s="187"/>
      <c r="F366" s="187"/>
      <c r="G366" s="136">
        <f>IF(SUM(T275:T365)=0, "-", SUM(T275:T365))</f>
        <v>67856</v>
      </c>
      <c r="H366" s="136">
        <f>IF(SUM(V275:V365)=0, "-", SUM(V275:V365))</f>
        <v>764</v>
      </c>
      <c r="I366" s="138">
        <f>IF(SUM(W275:W365)=0, "-", SUM(W275:W365))</f>
        <v>153</v>
      </c>
      <c r="J366" s="136"/>
      <c r="K366" s="137">
        <f>IF(SUM(Y275:Y365)=0, "-", SUM(Y275:Y365))</f>
        <v>83.890225000000001</v>
      </c>
    </row>
    <row r="367" spans="1:28" ht="15" x14ac:dyDescent="0.25">
      <c r="A367" s="4"/>
      <c r="B367" s="4"/>
      <c r="C367" s="4"/>
      <c r="D367" s="4"/>
      <c r="E367" s="4"/>
      <c r="F367" s="4"/>
      <c r="G367" s="136"/>
      <c r="H367" s="136"/>
      <c r="I367" s="136">
        <f>IF(SUM(X275:X365)=0, "-", SUM(X275:X365))</f>
        <v>11</v>
      </c>
      <c r="J367" s="136"/>
      <c r="K367" s="135">
        <f>IF(SUM(Z275:Z365)=0, "-", SUM(Z275:Z365))</f>
        <v>0.91207812500000007</v>
      </c>
    </row>
    <row r="370" spans="1:28" ht="14.25" x14ac:dyDescent="0.2">
      <c r="C370" s="183" t="s">
        <v>127</v>
      </c>
      <c r="D370" s="183"/>
      <c r="E370" s="183"/>
      <c r="F370" s="183"/>
      <c r="G370" s="183"/>
      <c r="H370" s="172">
        <v>764</v>
      </c>
      <c r="I370" s="172"/>
    </row>
    <row r="371" spans="1:28" ht="14.25" x14ac:dyDescent="0.2">
      <c r="C371" s="183" t="s">
        <v>128</v>
      </c>
      <c r="D371" s="183"/>
      <c r="E371" s="183"/>
      <c r="F371" s="183"/>
      <c r="G371" s="183"/>
      <c r="H371" s="172">
        <v>153</v>
      </c>
      <c r="I371" s="172"/>
    </row>
    <row r="372" spans="1:28" ht="14.25" x14ac:dyDescent="0.2">
      <c r="C372" s="183" t="s">
        <v>129</v>
      </c>
      <c r="D372" s="183"/>
      <c r="E372" s="183"/>
      <c r="F372" s="183"/>
      <c r="G372" s="183"/>
      <c r="H372" s="172">
        <v>65542</v>
      </c>
      <c r="I372" s="172"/>
    </row>
    <row r="373" spans="1:28" ht="14.25" x14ac:dyDescent="0.2">
      <c r="C373" s="183" t="s">
        <v>130</v>
      </c>
      <c r="D373" s="183"/>
      <c r="E373" s="183"/>
      <c r="F373" s="183"/>
      <c r="G373" s="183"/>
      <c r="H373" s="172">
        <v>860</v>
      </c>
      <c r="I373" s="172"/>
    </row>
    <row r="374" spans="1:28" ht="14.25" x14ac:dyDescent="0.2">
      <c r="C374" s="183" t="s">
        <v>131</v>
      </c>
      <c r="D374" s="183"/>
      <c r="E374" s="183"/>
      <c r="F374" s="183"/>
      <c r="G374" s="183"/>
      <c r="H374" s="172">
        <v>537</v>
      </c>
      <c r="I374" s="172"/>
    </row>
    <row r="375" spans="1:28" ht="14.25" x14ac:dyDescent="0.2">
      <c r="C375" s="183" t="s">
        <v>134</v>
      </c>
      <c r="D375" s="183"/>
      <c r="E375" s="183"/>
      <c r="F375" s="183"/>
      <c r="G375" s="183"/>
      <c r="H375" s="172">
        <v>67856</v>
      </c>
      <c r="I375" s="172"/>
    </row>
    <row r="377" spans="1:28" ht="16.5" x14ac:dyDescent="0.25">
      <c r="A377" s="186" t="s">
        <v>571</v>
      </c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</row>
    <row r="378" spans="1:28" ht="105" x14ac:dyDescent="0.2">
      <c r="A378" s="149" t="s">
        <v>223</v>
      </c>
      <c r="B378" s="149" t="s">
        <v>1995</v>
      </c>
      <c r="C378" s="145" t="s">
        <v>1898</v>
      </c>
      <c r="D378" s="3">
        <v>1</v>
      </c>
      <c r="E378" s="141">
        <v>81.08</v>
      </c>
      <c r="F378" s="141">
        <v>8.1199999999999992</v>
      </c>
      <c r="G378" s="140">
        <v>81</v>
      </c>
      <c r="H378" s="140">
        <v>59</v>
      </c>
      <c r="I378" s="142">
        <v>8</v>
      </c>
      <c r="J378" s="141">
        <v>6.8999999999999995</v>
      </c>
      <c r="K378" s="141">
        <v>6.8999999999999995</v>
      </c>
      <c r="T378">
        <v>191</v>
      </c>
      <c r="U378">
        <v>14</v>
      </c>
      <c r="V378">
        <v>59</v>
      </c>
      <c r="W378">
        <v>8</v>
      </c>
      <c r="X378">
        <v>0</v>
      </c>
      <c r="Y378">
        <v>6.8999999999999995</v>
      </c>
      <c r="Z378">
        <v>2.5000000000000001E-2</v>
      </c>
      <c r="AA378">
        <v>68</v>
      </c>
      <c r="AB378">
        <v>42</v>
      </c>
    </row>
    <row r="379" spans="1:28" ht="14.25" x14ac:dyDescent="0.2">
      <c r="C379" s="35" t="s">
        <v>158</v>
      </c>
      <c r="D379" s="3"/>
      <c r="E379" s="139">
        <v>58.86</v>
      </c>
      <c r="F379" s="139">
        <v>0.33</v>
      </c>
      <c r="G379" s="140"/>
      <c r="H379" s="140"/>
      <c r="I379" s="140">
        <v>0</v>
      </c>
      <c r="J379" s="139">
        <v>2.5000000000000001E-2</v>
      </c>
      <c r="K379" s="139">
        <v>2.5000000000000001E-2</v>
      </c>
    </row>
    <row r="380" spans="1:28" x14ac:dyDescent="0.2">
      <c r="C380" s="20" t="s">
        <v>89</v>
      </c>
      <c r="D380" s="37">
        <v>128</v>
      </c>
      <c r="E380" s="144">
        <v>68.186880000000002</v>
      </c>
      <c r="F380" s="37" t="s">
        <v>330</v>
      </c>
      <c r="G380" s="143">
        <v>68</v>
      </c>
      <c r="H380" s="37" t="s">
        <v>331</v>
      </c>
      <c r="I380" s="37"/>
      <c r="J380" s="37"/>
      <c r="K380" s="37"/>
    </row>
    <row r="381" spans="1:28" x14ac:dyDescent="0.2">
      <c r="C381" s="20" t="s">
        <v>92</v>
      </c>
      <c r="D381" s="37">
        <v>83</v>
      </c>
      <c r="E381" s="144">
        <v>41.758544999999998</v>
      </c>
      <c r="F381" s="37" t="s">
        <v>332</v>
      </c>
      <c r="G381" s="143">
        <v>42</v>
      </c>
      <c r="H381" s="37" t="s">
        <v>333</v>
      </c>
      <c r="I381" s="37"/>
      <c r="J381" s="37"/>
      <c r="K381" s="37"/>
    </row>
    <row r="382" spans="1:28" x14ac:dyDescent="0.2">
      <c r="C382" s="20" t="s">
        <v>95</v>
      </c>
      <c r="D382" s="37"/>
      <c r="E382" s="144">
        <v>191.02542499999998</v>
      </c>
      <c r="F382" s="37"/>
      <c r="G382" s="143">
        <v>191</v>
      </c>
      <c r="H382" s="37"/>
      <c r="I382" s="37"/>
      <c r="J382" s="37"/>
      <c r="K382" s="37"/>
    </row>
    <row r="383" spans="1:28" ht="99.75" x14ac:dyDescent="0.2">
      <c r="A383" s="149" t="s">
        <v>224</v>
      </c>
      <c r="B383" s="149" t="s">
        <v>2023</v>
      </c>
      <c r="C383" s="145" t="s">
        <v>572</v>
      </c>
      <c r="D383" s="3">
        <v>1</v>
      </c>
      <c r="E383" s="141">
        <v>9741.5400000000009</v>
      </c>
      <c r="F383" s="141">
        <v>0</v>
      </c>
      <c r="G383" s="140">
        <v>9742</v>
      </c>
      <c r="H383" s="140">
        <v>0</v>
      </c>
      <c r="I383" s="142">
        <v>0</v>
      </c>
      <c r="J383" s="141">
        <v>0</v>
      </c>
      <c r="K383" s="141">
        <v>0</v>
      </c>
      <c r="T383">
        <v>9742</v>
      </c>
      <c r="U383">
        <v>9742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</row>
    <row r="384" spans="1:28" ht="14.25" x14ac:dyDescent="0.2">
      <c r="C384" s="35" t="s">
        <v>158</v>
      </c>
      <c r="D384" s="3"/>
      <c r="E384" s="139">
        <v>0</v>
      </c>
      <c r="F384" s="139">
        <v>0</v>
      </c>
      <c r="G384" s="140"/>
      <c r="H384" s="140"/>
      <c r="I384" s="140">
        <v>0</v>
      </c>
      <c r="J384" s="139">
        <v>0</v>
      </c>
      <c r="K384" s="139">
        <v>0</v>
      </c>
    </row>
    <row r="385" spans="1:28" ht="119.25" x14ac:dyDescent="0.2">
      <c r="A385" s="149" t="s">
        <v>225</v>
      </c>
      <c r="B385" s="149" t="s">
        <v>2024</v>
      </c>
      <c r="C385" s="145" t="s">
        <v>1904</v>
      </c>
      <c r="D385" s="3">
        <v>1</v>
      </c>
      <c r="E385" s="141">
        <v>10.39</v>
      </c>
      <c r="F385" s="141">
        <v>2</v>
      </c>
      <c r="G385" s="140">
        <v>10</v>
      </c>
      <c r="H385" s="140">
        <v>5</v>
      </c>
      <c r="I385" s="142">
        <v>2</v>
      </c>
      <c r="J385" s="141">
        <v>0.59167500000000006</v>
      </c>
      <c r="K385" s="141">
        <v>0.59167500000000006</v>
      </c>
      <c r="T385">
        <v>20</v>
      </c>
      <c r="U385">
        <v>3</v>
      </c>
      <c r="V385">
        <v>5</v>
      </c>
      <c r="W385">
        <v>2</v>
      </c>
      <c r="X385">
        <v>0</v>
      </c>
      <c r="Y385">
        <v>0.59167500000000006</v>
      </c>
      <c r="Z385">
        <v>1.3125000000000001E-2</v>
      </c>
      <c r="AA385">
        <v>6</v>
      </c>
      <c r="AB385">
        <v>4</v>
      </c>
    </row>
    <row r="386" spans="1:28" ht="14.25" x14ac:dyDescent="0.2">
      <c r="C386" s="35" t="s">
        <v>158</v>
      </c>
      <c r="D386" s="3"/>
      <c r="E386" s="139">
        <v>5.43</v>
      </c>
      <c r="F386" s="139">
        <v>0.16</v>
      </c>
      <c r="G386" s="140"/>
      <c r="H386" s="140"/>
      <c r="I386" s="140">
        <v>0</v>
      </c>
      <c r="J386" s="139">
        <v>1.3125000000000001E-2</v>
      </c>
      <c r="K386" s="139">
        <v>1.3125000000000001E-2</v>
      </c>
    </row>
    <row r="387" spans="1:28" x14ac:dyDescent="0.2">
      <c r="C387" s="20" t="s">
        <v>89</v>
      </c>
      <c r="D387" s="37">
        <v>128</v>
      </c>
      <c r="E387" s="144">
        <v>6.4396799999999992</v>
      </c>
      <c r="F387" s="37" t="s">
        <v>330</v>
      </c>
      <c r="G387" s="143">
        <v>6</v>
      </c>
      <c r="H387" s="37" t="s">
        <v>331</v>
      </c>
      <c r="I387" s="37"/>
      <c r="J387" s="37"/>
      <c r="K387" s="37"/>
    </row>
    <row r="388" spans="1:28" x14ac:dyDescent="0.2">
      <c r="C388" s="20" t="s">
        <v>92</v>
      </c>
      <c r="D388" s="37">
        <v>83</v>
      </c>
      <c r="E388" s="144">
        <v>3.9437449999999994</v>
      </c>
      <c r="F388" s="37" t="s">
        <v>332</v>
      </c>
      <c r="G388" s="143">
        <v>4</v>
      </c>
      <c r="H388" s="37" t="s">
        <v>333</v>
      </c>
      <c r="I388" s="37"/>
      <c r="J388" s="37"/>
      <c r="K388" s="37"/>
    </row>
    <row r="389" spans="1:28" x14ac:dyDescent="0.2">
      <c r="C389" s="20" t="s">
        <v>95</v>
      </c>
      <c r="D389" s="37"/>
      <c r="E389" s="144">
        <v>20.773425</v>
      </c>
      <c r="F389" s="37"/>
      <c r="G389" s="143">
        <v>20</v>
      </c>
      <c r="H389" s="37"/>
      <c r="I389" s="37"/>
      <c r="J389" s="37"/>
      <c r="K389" s="37"/>
    </row>
    <row r="390" spans="1:28" ht="28.5" x14ac:dyDescent="0.2">
      <c r="A390" s="149" t="s">
        <v>2025</v>
      </c>
      <c r="B390" s="149" t="s">
        <v>1146</v>
      </c>
      <c r="C390" s="145" t="s">
        <v>573</v>
      </c>
      <c r="D390" s="3">
        <v>1</v>
      </c>
      <c r="E390" s="141">
        <v>0</v>
      </c>
      <c r="F390" s="141">
        <v>0</v>
      </c>
      <c r="G390" s="140">
        <v>0</v>
      </c>
      <c r="H390" s="140">
        <v>0</v>
      </c>
      <c r="I390" s="142">
        <v>0</v>
      </c>
      <c r="J390" s="141">
        <v>0</v>
      </c>
      <c r="K390" s="141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</row>
    <row r="391" spans="1:28" ht="14.25" x14ac:dyDescent="0.2">
      <c r="C391" s="35" t="s">
        <v>158</v>
      </c>
      <c r="D391" s="3"/>
      <c r="E391" s="139">
        <v>0</v>
      </c>
      <c r="F391" s="139">
        <v>0</v>
      </c>
      <c r="G391" s="140"/>
      <c r="H391" s="140"/>
      <c r="I391" s="140">
        <v>0</v>
      </c>
      <c r="J391" s="139">
        <v>0</v>
      </c>
      <c r="K391" s="139">
        <v>0</v>
      </c>
    </row>
    <row r="392" spans="1:28" ht="99.75" x14ac:dyDescent="0.2">
      <c r="A392" s="149" t="s">
        <v>145</v>
      </c>
      <c r="B392" s="149" t="s">
        <v>2026</v>
      </c>
      <c r="C392" s="145" t="s">
        <v>574</v>
      </c>
      <c r="D392" s="3">
        <v>1</v>
      </c>
      <c r="E392" s="141">
        <v>167.33</v>
      </c>
      <c r="F392" s="141">
        <v>0</v>
      </c>
      <c r="G392" s="140">
        <v>167</v>
      </c>
      <c r="H392" s="140">
        <v>0</v>
      </c>
      <c r="I392" s="142">
        <v>0</v>
      </c>
      <c r="J392" s="141">
        <v>0</v>
      </c>
      <c r="K392" s="141">
        <v>0</v>
      </c>
      <c r="T392">
        <v>167</v>
      </c>
      <c r="U392">
        <v>167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</row>
    <row r="393" spans="1:28" ht="14.25" x14ac:dyDescent="0.2">
      <c r="C393" s="35" t="s">
        <v>158</v>
      </c>
      <c r="D393" s="3"/>
      <c r="E393" s="139">
        <v>0</v>
      </c>
      <c r="F393" s="139">
        <v>0</v>
      </c>
      <c r="G393" s="140"/>
      <c r="H393" s="140"/>
      <c r="I393" s="140">
        <v>0</v>
      </c>
      <c r="J393" s="139">
        <v>0</v>
      </c>
      <c r="K393" s="139">
        <v>0</v>
      </c>
    </row>
    <row r="394" spans="1:28" ht="133.5" x14ac:dyDescent="0.2">
      <c r="A394" s="149" t="s">
        <v>226</v>
      </c>
      <c r="B394" s="149" t="s">
        <v>2027</v>
      </c>
      <c r="C394" s="145" t="s">
        <v>1903</v>
      </c>
      <c r="D394" s="3">
        <v>8</v>
      </c>
      <c r="E394" s="141">
        <v>97.9</v>
      </c>
      <c r="F394" s="141">
        <v>1.93</v>
      </c>
      <c r="G394" s="140">
        <v>783</v>
      </c>
      <c r="H394" s="140">
        <v>93</v>
      </c>
      <c r="I394" s="142">
        <v>15</v>
      </c>
      <c r="J394" s="141">
        <v>1.292025</v>
      </c>
      <c r="K394" s="141">
        <v>10.3362</v>
      </c>
      <c r="T394">
        <v>957</v>
      </c>
      <c r="U394">
        <v>675</v>
      </c>
      <c r="V394">
        <v>93</v>
      </c>
      <c r="W394">
        <v>15</v>
      </c>
      <c r="X394">
        <v>1</v>
      </c>
      <c r="Y394">
        <v>10.3362</v>
      </c>
      <c r="Z394">
        <v>0.10500000000000001</v>
      </c>
      <c r="AA394">
        <v>108</v>
      </c>
      <c r="AB394">
        <v>66</v>
      </c>
    </row>
    <row r="395" spans="1:28" ht="14.25" x14ac:dyDescent="0.2">
      <c r="C395" s="35" t="s">
        <v>158</v>
      </c>
      <c r="D395" s="3"/>
      <c r="E395" s="139">
        <v>11.59</v>
      </c>
      <c r="F395" s="139">
        <v>0.16</v>
      </c>
      <c r="G395" s="140"/>
      <c r="H395" s="140"/>
      <c r="I395" s="140">
        <v>1</v>
      </c>
      <c r="J395" s="139">
        <v>1.3125000000000001E-2</v>
      </c>
      <c r="K395" s="139">
        <v>0.10500000000000001</v>
      </c>
    </row>
    <row r="396" spans="1:28" x14ac:dyDescent="0.2">
      <c r="C396" s="20" t="s">
        <v>89</v>
      </c>
      <c r="D396" s="37">
        <v>128</v>
      </c>
      <c r="E396" s="144">
        <v>13.536000000000001</v>
      </c>
      <c r="F396" s="37" t="s">
        <v>330</v>
      </c>
      <c r="G396" s="143">
        <v>108</v>
      </c>
      <c r="H396" s="37" t="s">
        <v>331</v>
      </c>
      <c r="I396" s="37"/>
      <c r="J396" s="37"/>
      <c r="K396" s="37"/>
    </row>
    <row r="397" spans="1:28" x14ac:dyDescent="0.2">
      <c r="C397" s="20" t="s">
        <v>92</v>
      </c>
      <c r="D397" s="37">
        <v>83</v>
      </c>
      <c r="E397" s="144">
        <v>8.2896249999999991</v>
      </c>
      <c r="F397" s="37" t="s">
        <v>332</v>
      </c>
      <c r="G397" s="143">
        <v>66</v>
      </c>
      <c r="H397" s="37" t="s">
        <v>333</v>
      </c>
      <c r="I397" s="37"/>
      <c r="J397" s="37"/>
      <c r="K397" s="37"/>
    </row>
    <row r="398" spans="1:28" x14ac:dyDescent="0.2">
      <c r="C398" s="20" t="s">
        <v>95</v>
      </c>
      <c r="D398" s="37"/>
      <c r="E398" s="144">
        <v>119.72562500000001</v>
      </c>
      <c r="F398" s="37"/>
      <c r="G398" s="143">
        <v>957</v>
      </c>
      <c r="H398" s="37"/>
      <c r="I398" s="37"/>
      <c r="J398" s="37"/>
      <c r="K398" s="37"/>
    </row>
    <row r="399" spans="1:28" ht="133.5" x14ac:dyDescent="0.2">
      <c r="A399" s="149" t="s">
        <v>227</v>
      </c>
      <c r="B399" s="149" t="s">
        <v>2028</v>
      </c>
      <c r="C399" s="145" t="s">
        <v>1902</v>
      </c>
      <c r="D399" s="3">
        <v>0.248</v>
      </c>
      <c r="E399" s="141">
        <v>2012.21</v>
      </c>
      <c r="F399" s="141">
        <v>126.08</v>
      </c>
      <c r="G399" s="140">
        <v>499</v>
      </c>
      <c r="H399" s="140">
        <v>369</v>
      </c>
      <c r="I399" s="142">
        <v>31</v>
      </c>
      <c r="J399" s="141">
        <v>170.25749999999999</v>
      </c>
      <c r="K399" s="141">
        <v>42.223859999999995</v>
      </c>
      <c r="T399">
        <v>1192</v>
      </c>
      <c r="U399">
        <v>99</v>
      </c>
      <c r="V399">
        <v>369</v>
      </c>
      <c r="W399">
        <v>31</v>
      </c>
      <c r="X399">
        <v>4</v>
      </c>
      <c r="Y399">
        <v>42.223859999999995</v>
      </c>
      <c r="Z399">
        <v>0.31247999999999998</v>
      </c>
      <c r="AA399">
        <v>430</v>
      </c>
      <c r="AB399">
        <v>263</v>
      </c>
    </row>
    <row r="400" spans="1:28" ht="14.25" x14ac:dyDescent="0.2">
      <c r="C400" s="35" t="s">
        <v>97</v>
      </c>
      <c r="D400" s="3"/>
      <c r="E400" s="139">
        <v>1488.05</v>
      </c>
      <c r="F400" s="139">
        <v>15.59</v>
      </c>
      <c r="G400" s="140"/>
      <c r="H400" s="140"/>
      <c r="I400" s="140">
        <v>4</v>
      </c>
      <c r="J400" s="139">
        <v>1.26</v>
      </c>
      <c r="K400" s="139">
        <v>0.31247999999999998</v>
      </c>
    </row>
    <row r="401" spans="1:28" ht="38.25" x14ac:dyDescent="0.2">
      <c r="C401" s="36" t="s">
        <v>575</v>
      </c>
    </row>
    <row r="402" spans="1:28" x14ac:dyDescent="0.2">
      <c r="C402" s="20" t="s">
        <v>89</v>
      </c>
      <c r="D402" s="37">
        <v>128</v>
      </c>
      <c r="E402" s="144">
        <v>1732.1932799999997</v>
      </c>
      <c r="F402" s="37" t="s">
        <v>330</v>
      </c>
      <c r="G402" s="143">
        <v>430</v>
      </c>
      <c r="H402" s="37" t="s">
        <v>331</v>
      </c>
      <c r="I402" s="37"/>
      <c r="J402" s="37"/>
      <c r="K402" s="37"/>
    </row>
    <row r="403" spans="1:28" x14ac:dyDescent="0.2">
      <c r="C403" s="20" t="s">
        <v>92</v>
      </c>
      <c r="D403" s="37">
        <v>83</v>
      </c>
      <c r="E403" s="144">
        <v>1060.8180199999997</v>
      </c>
      <c r="F403" s="37" t="s">
        <v>332</v>
      </c>
      <c r="G403" s="143">
        <v>263</v>
      </c>
      <c r="H403" s="37" t="s">
        <v>333</v>
      </c>
      <c r="I403" s="37"/>
      <c r="J403" s="37"/>
      <c r="K403" s="37"/>
    </row>
    <row r="404" spans="1:28" x14ac:dyDescent="0.2">
      <c r="C404" s="20" t="s">
        <v>95</v>
      </c>
      <c r="D404" s="37"/>
      <c r="E404" s="144">
        <v>4805.2212999999992</v>
      </c>
      <c r="F404" s="37"/>
      <c r="G404" s="143">
        <v>1192</v>
      </c>
      <c r="H404" s="37"/>
      <c r="I404" s="37"/>
      <c r="J404" s="37"/>
      <c r="K404" s="37"/>
    </row>
    <row r="405" spans="1:28" ht="14.25" x14ac:dyDescent="0.2">
      <c r="A405" s="149" t="s">
        <v>1534</v>
      </c>
      <c r="B405" s="149" t="s">
        <v>1146</v>
      </c>
      <c r="C405" s="145" t="s">
        <v>535</v>
      </c>
      <c r="D405" s="3">
        <v>24.8</v>
      </c>
      <c r="E405" s="141">
        <v>0</v>
      </c>
      <c r="F405" s="141">
        <v>0</v>
      </c>
      <c r="G405" s="140">
        <v>0</v>
      </c>
      <c r="H405" s="140">
        <v>0</v>
      </c>
      <c r="I405" s="142">
        <v>0</v>
      </c>
      <c r="J405" s="141">
        <v>0</v>
      </c>
      <c r="K405" s="141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</row>
    <row r="406" spans="1:28" ht="14.25" x14ac:dyDescent="0.2">
      <c r="C406" s="35" t="s">
        <v>117</v>
      </c>
      <c r="D406" s="3"/>
      <c r="E406" s="139">
        <v>0</v>
      </c>
      <c r="F406" s="139">
        <v>0</v>
      </c>
      <c r="G406" s="140"/>
      <c r="H406" s="140"/>
      <c r="I406" s="140">
        <v>0</v>
      </c>
      <c r="J406" s="139">
        <v>0</v>
      </c>
      <c r="K406" s="139">
        <v>0</v>
      </c>
    </row>
    <row r="407" spans="1:28" ht="99.75" x14ac:dyDescent="0.2">
      <c r="A407" s="149" t="s">
        <v>228</v>
      </c>
      <c r="B407" s="149" t="s">
        <v>2029</v>
      </c>
      <c r="C407" s="145" t="s">
        <v>576</v>
      </c>
      <c r="D407" s="3">
        <v>19.8</v>
      </c>
      <c r="E407" s="141">
        <v>76.430000000000007</v>
      </c>
      <c r="F407" s="141">
        <v>0</v>
      </c>
      <c r="G407" s="140">
        <v>1513</v>
      </c>
      <c r="H407" s="140">
        <v>0</v>
      </c>
      <c r="I407" s="142">
        <v>0</v>
      </c>
      <c r="J407" s="141">
        <v>0</v>
      </c>
      <c r="K407" s="141">
        <v>0</v>
      </c>
      <c r="T407">
        <v>1513</v>
      </c>
      <c r="U407">
        <v>1513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</row>
    <row r="408" spans="1:28" ht="14.25" x14ac:dyDescent="0.2">
      <c r="C408" s="35" t="s">
        <v>117</v>
      </c>
      <c r="D408" s="3"/>
      <c r="E408" s="139">
        <v>0</v>
      </c>
      <c r="F408" s="139">
        <v>0</v>
      </c>
      <c r="G408" s="140"/>
      <c r="H408" s="140"/>
      <c r="I408" s="140">
        <v>0</v>
      </c>
      <c r="J408" s="139">
        <v>0</v>
      </c>
      <c r="K408" s="139">
        <v>0</v>
      </c>
    </row>
    <row r="409" spans="1:28" ht="99.75" x14ac:dyDescent="0.2">
      <c r="A409" s="149" t="s">
        <v>229</v>
      </c>
      <c r="B409" s="149" t="s">
        <v>2030</v>
      </c>
      <c r="C409" s="145" t="s">
        <v>577</v>
      </c>
      <c r="D409" s="3">
        <v>1.26</v>
      </c>
      <c r="E409" s="141">
        <v>192.62</v>
      </c>
      <c r="F409" s="141">
        <v>0</v>
      </c>
      <c r="G409" s="140">
        <v>243</v>
      </c>
      <c r="H409" s="140">
        <v>0</v>
      </c>
      <c r="I409" s="142">
        <v>0</v>
      </c>
      <c r="J409" s="141">
        <v>0</v>
      </c>
      <c r="K409" s="141">
        <v>0</v>
      </c>
      <c r="T409">
        <v>243</v>
      </c>
      <c r="U409">
        <v>243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</row>
    <row r="410" spans="1:28" ht="14.25" x14ac:dyDescent="0.2">
      <c r="C410" s="35" t="s">
        <v>117</v>
      </c>
      <c r="D410" s="3"/>
      <c r="E410" s="139">
        <v>0</v>
      </c>
      <c r="F410" s="139">
        <v>0</v>
      </c>
      <c r="G410" s="140"/>
      <c r="H410" s="140"/>
      <c r="I410" s="140">
        <v>0</v>
      </c>
      <c r="J410" s="139">
        <v>0</v>
      </c>
      <c r="K410" s="139">
        <v>0</v>
      </c>
    </row>
    <row r="411" spans="1:28" x14ac:dyDescent="0.2">
      <c r="C411" s="36" t="s">
        <v>578</v>
      </c>
    </row>
    <row r="412" spans="1:28" ht="99.75" x14ac:dyDescent="0.2">
      <c r="A412" s="149" t="s">
        <v>230</v>
      </c>
      <c r="B412" s="149" t="s">
        <v>2031</v>
      </c>
      <c r="C412" s="145" t="s">
        <v>543</v>
      </c>
      <c r="D412" s="3">
        <v>3.94</v>
      </c>
      <c r="E412" s="141">
        <v>165.96</v>
      </c>
      <c r="F412" s="141">
        <v>0</v>
      </c>
      <c r="G412" s="140">
        <v>654</v>
      </c>
      <c r="H412" s="140">
        <v>0</v>
      </c>
      <c r="I412" s="142">
        <v>0</v>
      </c>
      <c r="J412" s="141">
        <v>0</v>
      </c>
      <c r="K412" s="141">
        <v>0</v>
      </c>
      <c r="T412">
        <v>654</v>
      </c>
      <c r="U412">
        <v>654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</row>
    <row r="413" spans="1:28" ht="14.25" x14ac:dyDescent="0.2">
      <c r="C413" s="35" t="s">
        <v>117</v>
      </c>
      <c r="D413" s="3"/>
      <c r="E413" s="139">
        <v>0</v>
      </c>
      <c r="F413" s="139">
        <v>0</v>
      </c>
      <c r="G413" s="140"/>
      <c r="H413" s="140"/>
      <c r="I413" s="140">
        <v>0</v>
      </c>
      <c r="J413" s="139">
        <v>0</v>
      </c>
      <c r="K413" s="139">
        <v>0</v>
      </c>
    </row>
    <row r="414" spans="1:28" ht="25.5" x14ac:dyDescent="0.2">
      <c r="C414" s="36" t="s">
        <v>579</v>
      </c>
    </row>
    <row r="415" spans="1:28" ht="99.75" x14ac:dyDescent="0.2">
      <c r="A415" s="149" t="s">
        <v>231</v>
      </c>
      <c r="B415" s="149" t="s">
        <v>1978</v>
      </c>
      <c r="C415" s="145" t="s">
        <v>580</v>
      </c>
      <c r="D415" s="3">
        <v>0.16900000000000001</v>
      </c>
      <c r="E415" s="141">
        <v>1898.04</v>
      </c>
      <c r="F415" s="141">
        <v>117.43</v>
      </c>
      <c r="G415" s="140">
        <v>320</v>
      </c>
      <c r="H415" s="140">
        <v>227</v>
      </c>
      <c r="I415" s="142">
        <v>20</v>
      </c>
      <c r="J415" s="141">
        <v>154</v>
      </c>
      <c r="K415" s="141">
        <v>26.026000000000003</v>
      </c>
      <c r="T415">
        <v>747</v>
      </c>
      <c r="U415">
        <v>73</v>
      </c>
      <c r="V415">
        <v>227</v>
      </c>
      <c r="W415">
        <v>20</v>
      </c>
      <c r="X415">
        <v>3</v>
      </c>
      <c r="Y415">
        <v>26.026000000000003</v>
      </c>
      <c r="Z415">
        <v>0.20280000000000001</v>
      </c>
      <c r="AA415">
        <v>265</v>
      </c>
      <c r="AB415">
        <v>162</v>
      </c>
    </row>
    <row r="416" spans="1:28" ht="14.25" x14ac:dyDescent="0.2">
      <c r="C416" s="35" t="s">
        <v>97</v>
      </c>
      <c r="D416" s="3"/>
      <c r="E416" s="139">
        <v>1345.96</v>
      </c>
      <c r="F416" s="139">
        <v>14.83</v>
      </c>
      <c r="G416" s="140"/>
      <c r="H416" s="140"/>
      <c r="I416" s="140">
        <v>3</v>
      </c>
      <c r="J416" s="139">
        <v>1.2</v>
      </c>
      <c r="K416" s="139">
        <v>0.20280000000000001</v>
      </c>
    </row>
    <row r="417" spans="1:28" x14ac:dyDescent="0.2">
      <c r="C417" s="36" t="s">
        <v>581</v>
      </c>
    </row>
    <row r="418" spans="1:28" x14ac:dyDescent="0.2">
      <c r="C418" s="20" t="s">
        <v>89</v>
      </c>
      <c r="D418" s="37">
        <v>128</v>
      </c>
      <c r="E418" s="144">
        <v>1567.6300799999999</v>
      </c>
      <c r="F418" s="37" t="s">
        <v>330</v>
      </c>
      <c r="G418" s="143">
        <v>265</v>
      </c>
      <c r="H418" s="37" t="s">
        <v>331</v>
      </c>
      <c r="I418" s="37"/>
      <c r="J418" s="37"/>
      <c r="K418" s="37"/>
    </row>
    <row r="419" spans="1:28" x14ac:dyDescent="0.2">
      <c r="C419" s="20" t="s">
        <v>92</v>
      </c>
      <c r="D419" s="37">
        <v>83</v>
      </c>
      <c r="E419" s="144">
        <v>960.03734499999996</v>
      </c>
      <c r="F419" s="37" t="s">
        <v>332</v>
      </c>
      <c r="G419" s="143">
        <v>162</v>
      </c>
      <c r="H419" s="37" t="s">
        <v>333</v>
      </c>
      <c r="I419" s="37"/>
      <c r="J419" s="37"/>
      <c r="K419" s="37"/>
    </row>
    <row r="420" spans="1:28" x14ac:dyDescent="0.2">
      <c r="C420" s="20" t="s">
        <v>95</v>
      </c>
      <c r="D420" s="37"/>
      <c r="E420" s="144">
        <v>4425.7074249999996</v>
      </c>
      <c r="F420" s="37"/>
      <c r="G420" s="143">
        <v>747</v>
      </c>
      <c r="H420" s="37"/>
      <c r="I420" s="37"/>
      <c r="J420" s="37"/>
      <c r="K420" s="37"/>
    </row>
    <row r="421" spans="1:28" ht="14.25" x14ac:dyDescent="0.2">
      <c r="A421" s="149" t="s">
        <v>2032</v>
      </c>
      <c r="B421" s="149" t="s">
        <v>1146</v>
      </c>
      <c r="C421" s="145" t="s">
        <v>535</v>
      </c>
      <c r="D421" s="3">
        <v>16.899999999999999</v>
      </c>
      <c r="E421" s="141">
        <v>0</v>
      </c>
      <c r="F421" s="141">
        <v>0</v>
      </c>
      <c r="G421" s="140">
        <v>0</v>
      </c>
      <c r="H421" s="140">
        <v>0</v>
      </c>
      <c r="I421" s="142">
        <v>0</v>
      </c>
      <c r="J421" s="141">
        <v>0</v>
      </c>
      <c r="K421" s="14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</row>
    <row r="422" spans="1:28" ht="14.25" x14ac:dyDescent="0.2">
      <c r="C422" s="35" t="s">
        <v>117</v>
      </c>
      <c r="D422" s="3"/>
      <c r="E422" s="139">
        <v>0</v>
      </c>
      <c r="F422" s="139">
        <v>0</v>
      </c>
      <c r="G422" s="140"/>
      <c r="H422" s="140"/>
      <c r="I422" s="140">
        <v>0</v>
      </c>
      <c r="J422" s="139">
        <v>0</v>
      </c>
      <c r="K422" s="139">
        <v>0</v>
      </c>
    </row>
    <row r="423" spans="1:28" ht="99.75" x14ac:dyDescent="0.2">
      <c r="A423" s="149" t="s">
        <v>232</v>
      </c>
      <c r="B423" s="149" t="s">
        <v>2033</v>
      </c>
      <c r="C423" s="145" t="s">
        <v>582</v>
      </c>
      <c r="D423" s="3">
        <v>9.4</v>
      </c>
      <c r="E423" s="141">
        <v>74.67</v>
      </c>
      <c r="F423" s="141">
        <v>0</v>
      </c>
      <c r="G423" s="140">
        <v>702</v>
      </c>
      <c r="H423" s="140">
        <v>0</v>
      </c>
      <c r="I423" s="142">
        <v>0</v>
      </c>
      <c r="J423" s="141">
        <v>0</v>
      </c>
      <c r="K423" s="141">
        <v>0</v>
      </c>
      <c r="T423">
        <v>702</v>
      </c>
      <c r="U423">
        <v>702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</row>
    <row r="424" spans="1:28" ht="14.25" x14ac:dyDescent="0.2">
      <c r="C424" s="35" t="s">
        <v>117</v>
      </c>
      <c r="D424" s="3"/>
      <c r="E424" s="139">
        <v>0</v>
      </c>
      <c r="F424" s="139">
        <v>0</v>
      </c>
      <c r="G424" s="140"/>
      <c r="H424" s="140"/>
      <c r="I424" s="140">
        <v>0</v>
      </c>
      <c r="J424" s="139">
        <v>0</v>
      </c>
      <c r="K424" s="139">
        <v>0</v>
      </c>
    </row>
    <row r="425" spans="1:28" ht="99.75" x14ac:dyDescent="0.2">
      <c r="A425" s="149" t="s">
        <v>233</v>
      </c>
      <c r="B425" s="149" t="s">
        <v>2034</v>
      </c>
      <c r="C425" s="145" t="s">
        <v>583</v>
      </c>
      <c r="D425" s="3">
        <v>7.5</v>
      </c>
      <c r="E425" s="141">
        <v>75.03</v>
      </c>
      <c r="F425" s="141">
        <v>0</v>
      </c>
      <c r="G425" s="140">
        <v>563</v>
      </c>
      <c r="H425" s="140">
        <v>0</v>
      </c>
      <c r="I425" s="142">
        <v>0</v>
      </c>
      <c r="J425" s="141">
        <v>0</v>
      </c>
      <c r="K425" s="141">
        <v>0</v>
      </c>
      <c r="T425">
        <v>563</v>
      </c>
      <c r="U425">
        <v>563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</row>
    <row r="426" spans="1:28" ht="14.25" x14ac:dyDescent="0.2">
      <c r="C426" s="35" t="s">
        <v>117</v>
      </c>
      <c r="D426" s="3"/>
      <c r="E426" s="139">
        <v>0</v>
      </c>
      <c r="F426" s="139">
        <v>0</v>
      </c>
      <c r="G426" s="140"/>
      <c r="H426" s="140"/>
      <c r="I426" s="140">
        <v>0</v>
      </c>
      <c r="J426" s="139">
        <v>0</v>
      </c>
      <c r="K426" s="139">
        <v>0</v>
      </c>
    </row>
    <row r="427" spans="1:28" ht="99.75" x14ac:dyDescent="0.2">
      <c r="A427" s="149" t="s">
        <v>234</v>
      </c>
      <c r="B427" s="149" t="s">
        <v>1986</v>
      </c>
      <c r="C427" s="145" t="s">
        <v>548</v>
      </c>
      <c r="D427" s="3">
        <v>8.0000000000000002E-3</v>
      </c>
      <c r="E427" s="141">
        <v>12676.79</v>
      </c>
      <c r="F427" s="141">
        <v>0</v>
      </c>
      <c r="G427" s="140">
        <v>101</v>
      </c>
      <c r="H427" s="140">
        <v>0</v>
      </c>
      <c r="I427" s="142">
        <v>0</v>
      </c>
      <c r="J427" s="141">
        <v>0</v>
      </c>
      <c r="K427" s="141">
        <v>0</v>
      </c>
      <c r="T427">
        <v>101</v>
      </c>
      <c r="U427">
        <v>101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</row>
    <row r="428" spans="1:28" ht="14.25" x14ac:dyDescent="0.2">
      <c r="C428" s="35" t="s">
        <v>99</v>
      </c>
      <c r="D428" s="3"/>
      <c r="E428" s="139">
        <v>0</v>
      </c>
      <c r="F428" s="139">
        <v>0</v>
      </c>
      <c r="G428" s="140"/>
      <c r="H428" s="140"/>
      <c r="I428" s="140">
        <v>0</v>
      </c>
      <c r="J428" s="139">
        <v>0</v>
      </c>
      <c r="K428" s="139">
        <v>0</v>
      </c>
    </row>
    <row r="429" spans="1:28" x14ac:dyDescent="0.2">
      <c r="C429" s="36" t="s">
        <v>584</v>
      </c>
    </row>
    <row r="431" spans="1:28" ht="15" x14ac:dyDescent="0.25">
      <c r="A431" s="4"/>
      <c r="B431" s="4"/>
      <c r="C431" s="187" t="s">
        <v>585</v>
      </c>
      <c r="D431" s="187"/>
      <c r="E431" s="187"/>
      <c r="F431" s="187"/>
      <c r="G431" s="136">
        <f>IF(SUM(T377:T430)=0, "-", SUM(T377:T430))</f>
        <v>16792</v>
      </c>
      <c r="H431" s="136">
        <f>IF(SUM(V377:V430)=0, "-", SUM(V377:V430))</f>
        <v>753</v>
      </c>
      <c r="I431" s="138">
        <f>IF(SUM(W377:W430)=0, "-", SUM(W377:W430))</f>
        <v>76</v>
      </c>
      <c r="J431" s="136"/>
      <c r="K431" s="137">
        <f>IF(SUM(Y377:Y430)=0, "-", SUM(Y377:Y430))</f>
        <v>86.07773499999999</v>
      </c>
    </row>
    <row r="432" spans="1:28" ht="15" x14ac:dyDescent="0.25">
      <c r="A432" s="4"/>
      <c r="B432" s="4"/>
      <c r="C432" s="4"/>
      <c r="D432" s="4"/>
      <c r="E432" s="4"/>
      <c r="F432" s="4"/>
      <c r="G432" s="136"/>
      <c r="H432" s="136"/>
      <c r="I432" s="136">
        <f>IF(SUM(X377:X430)=0, "-", SUM(X377:X430))</f>
        <v>8</v>
      </c>
      <c r="J432" s="136"/>
      <c r="K432" s="135">
        <f>IF(SUM(Z377:Z430)=0, "-", SUM(Z377:Z430))</f>
        <v>0.65840500000000002</v>
      </c>
    </row>
    <row r="435" spans="1:28" ht="14.25" x14ac:dyDescent="0.2">
      <c r="C435" s="183" t="s">
        <v>127</v>
      </c>
      <c r="D435" s="183"/>
      <c r="E435" s="183"/>
      <c r="F435" s="183"/>
      <c r="G435" s="183"/>
      <c r="H435" s="172">
        <v>753</v>
      </c>
      <c r="I435" s="172"/>
    </row>
    <row r="436" spans="1:28" ht="14.25" x14ac:dyDescent="0.2">
      <c r="C436" s="183" t="s">
        <v>128</v>
      </c>
      <c r="D436" s="183"/>
      <c r="E436" s="183"/>
      <c r="F436" s="183"/>
      <c r="G436" s="183"/>
      <c r="H436" s="172">
        <v>76</v>
      </c>
      <c r="I436" s="172"/>
    </row>
    <row r="437" spans="1:28" ht="14.25" x14ac:dyDescent="0.2">
      <c r="C437" s="183" t="s">
        <v>129</v>
      </c>
      <c r="D437" s="183"/>
      <c r="E437" s="183"/>
      <c r="F437" s="183"/>
      <c r="G437" s="183"/>
      <c r="H437" s="172">
        <v>14549</v>
      </c>
      <c r="I437" s="172"/>
    </row>
    <row r="438" spans="1:28" ht="14.25" x14ac:dyDescent="0.2">
      <c r="C438" s="183" t="s">
        <v>130</v>
      </c>
      <c r="D438" s="183"/>
      <c r="E438" s="183"/>
      <c r="F438" s="183"/>
      <c r="G438" s="183"/>
      <c r="H438" s="172">
        <v>877</v>
      </c>
      <c r="I438" s="172"/>
    </row>
    <row r="439" spans="1:28" ht="14.25" x14ac:dyDescent="0.2">
      <c r="C439" s="183" t="s">
        <v>131</v>
      </c>
      <c r="D439" s="183"/>
      <c r="E439" s="183"/>
      <c r="F439" s="183"/>
      <c r="G439" s="183"/>
      <c r="H439" s="172">
        <v>537</v>
      </c>
      <c r="I439" s="172"/>
    </row>
    <row r="440" spans="1:28" ht="14.25" x14ac:dyDescent="0.2">
      <c r="C440" s="183" t="s">
        <v>134</v>
      </c>
      <c r="D440" s="183"/>
      <c r="E440" s="183"/>
      <c r="F440" s="183"/>
      <c r="G440" s="183"/>
      <c r="H440" s="172">
        <v>16792</v>
      </c>
      <c r="I440" s="172"/>
    </row>
    <row r="442" spans="1:28" ht="16.5" x14ac:dyDescent="0.25">
      <c r="A442" s="186" t="s">
        <v>586</v>
      </c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</row>
    <row r="443" spans="1:28" ht="105" x14ac:dyDescent="0.2">
      <c r="A443" s="149" t="s">
        <v>235</v>
      </c>
      <c r="B443" s="149" t="s">
        <v>1995</v>
      </c>
      <c r="C443" s="145" t="s">
        <v>1898</v>
      </c>
      <c r="D443" s="3">
        <v>1</v>
      </c>
      <c r="E443" s="141">
        <v>81.08</v>
      </c>
      <c r="F443" s="141">
        <v>8.1199999999999992</v>
      </c>
      <c r="G443" s="140">
        <v>81</v>
      </c>
      <c r="H443" s="140">
        <v>59</v>
      </c>
      <c r="I443" s="142">
        <v>8</v>
      </c>
      <c r="J443" s="141">
        <v>6.8999999999999995</v>
      </c>
      <c r="K443" s="141">
        <v>6.8999999999999995</v>
      </c>
      <c r="T443">
        <v>191</v>
      </c>
      <c r="U443">
        <v>14</v>
      </c>
      <c r="V443">
        <v>59</v>
      </c>
      <c r="W443">
        <v>8</v>
      </c>
      <c r="X443">
        <v>0</v>
      </c>
      <c r="Y443">
        <v>6.8999999999999995</v>
      </c>
      <c r="Z443">
        <v>2.5000000000000001E-2</v>
      </c>
      <c r="AA443">
        <v>68</v>
      </c>
      <c r="AB443">
        <v>42</v>
      </c>
    </row>
    <row r="444" spans="1:28" ht="14.25" x14ac:dyDescent="0.2">
      <c r="C444" s="35" t="s">
        <v>158</v>
      </c>
      <c r="D444" s="3"/>
      <c r="E444" s="139">
        <v>58.86</v>
      </c>
      <c r="F444" s="139">
        <v>0.33</v>
      </c>
      <c r="G444" s="140"/>
      <c r="H444" s="140"/>
      <c r="I444" s="140">
        <v>0</v>
      </c>
      <c r="J444" s="139">
        <v>2.5000000000000001E-2</v>
      </c>
      <c r="K444" s="139">
        <v>2.5000000000000001E-2</v>
      </c>
    </row>
    <row r="445" spans="1:28" x14ac:dyDescent="0.2">
      <c r="C445" s="20" t="s">
        <v>89</v>
      </c>
      <c r="D445" s="37">
        <v>128</v>
      </c>
      <c r="E445" s="144">
        <v>68.186880000000002</v>
      </c>
      <c r="F445" s="37" t="s">
        <v>330</v>
      </c>
      <c r="G445" s="143">
        <v>68</v>
      </c>
      <c r="H445" s="37" t="s">
        <v>331</v>
      </c>
      <c r="I445" s="37"/>
      <c r="J445" s="37"/>
      <c r="K445" s="37"/>
    </row>
    <row r="446" spans="1:28" x14ac:dyDescent="0.2">
      <c r="C446" s="20" t="s">
        <v>92</v>
      </c>
      <c r="D446" s="37">
        <v>83</v>
      </c>
      <c r="E446" s="144">
        <v>41.758544999999998</v>
      </c>
      <c r="F446" s="37" t="s">
        <v>332</v>
      </c>
      <c r="G446" s="143">
        <v>42</v>
      </c>
      <c r="H446" s="37" t="s">
        <v>333</v>
      </c>
      <c r="I446" s="37"/>
      <c r="J446" s="37"/>
      <c r="K446" s="37"/>
    </row>
    <row r="447" spans="1:28" x14ac:dyDescent="0.2">
      <c r="C447" s="20" t="s">
        <v>95</v>
      </c>
      <c r="D447" s="37"/>
      <c r="E447" s="144">
        <v>191.02542499999998</v>
      </c>
      <c r="F447" s="37"/>
      <c r="G447" s="143">
        <v>191</v>
      </c>
      <c r="H447" s="37"/>
      <c r="I447" s="37"/>
      <c r="J447" s="37"/>
      <c r="K447" s="37"/>
    </row>
    <row r="448" spans="1:28" ht="99.75" x14ac:dyDescent="0.2">
      <c r="A448" s="149" t="s">
        <v>236</v>
      </c>
      <c r="B448" s="149" t="s">
        <v>2008</v>
      </c>
      <c r="C448" s="145" t="s">
        <v>587</v>
      </c>
      <c r="D448" s="3">
        <v>1</v>
      </c>
      <c r="E448" s="141">
        <v>1310.3</v>
      </c>
      <c r="F448" s="141">
        <v>0</v>
      </c>
      <c r="G448" s="140">
        <v>1310</v>
      </c>
      <c r="H448" s="140">
        <v>0</v>
      </c>
      <c r="I448" s="142">
        <v>0</v>
      </c>
      <c r="J448" s="141">
        <v>0</v>
      </c>
      <c r="K448" s="141">
        <v>0</v>
      </c>
      <c r="T448">
        <v>1310</v>
      </c>
      <c r="U448">
        <v>1310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</row>
    <row r="449" spans="1:28" ht="14.25" x14ac:dyDescent="0.2">
      <c r="C449" s="35" t="s">
        <v>158</v>
      </c>
      <c r="D449" s="3"/>
      <c r="E449" s="139">
        <v>0</v>
      </c>
      <c r="F449" s="139">
        <v>0</v>
      </c>
      <c r="G449" s="140"/>
      <c r="H449" s="140"/>
      <c r="I449" s="140">
        <v>0</v>
      </c>
      <c r="J449" s="139">
        <v>0</v>
      </c>
      <c r="K449" s="139">
        <v>0</v>
      </c>
    </row>
    <row r="450" spans="1:28" ht="119.25" x14ac:dyDescent="0.2">
      <c r="A450" s="149" t="s">
        <v>237</v>
      </c>
      <c r="B450" s="149" t="s">
        <v>2009</v>
      </c>
      <c r="C450" s="145" t="s">
        <v>1901</v>
      </c>
      <c r="D450" s="3">
        <v>1</v>
      </c>
      <c r="E450" s="141">
        <v>7.79</v>
      </c>
      <c r="F450" s="141">
        <v>1.77</v>
      </c>
      <c r="G450" s="140">
        <v>8</v>
      </c>
      <c r="H450" s="140">
        <v>4</v>
      </c>
      <c r="I450" s="142">
        <v>2</v>
      </c>
      <c r="J450" s="141">
        <v>0.43469999999999998</v>
      </c>
      <c r="K450" s="141">
        <v>0.43469999999999998</v>
      </c>
      <c r="T450">
        <v>16</v>
      </c>
      <c r="U450">
        <v>2</v>
      </c>
      <c r="V450">
        <v>4</v>
      </c>
      <c r="W450">
        <v>2</v>
      </c>
      <c r="X450">
        <v>0</v>
      </c>
      <c r="Y450">
        <v>0.43469999999999998</v>
      </c>
      <c r="Z450">
        <v>1.3125000000000001E-2</v>
      </c>
      <c r="AA450">
        <v>5</v>
      </c>
      <c r="AB450">
        <v>3</v>
      </c>
    </row>
    <row r="451" spans="1:28" ht="14.25" x14ac:dyDescent="0.2">
      <c r="C451" s="35" t="s">
        <v>158</v>
      </c>
      <c r="D451" s="3"/>
      <c r="E451" s="139">
        <v>3.98</v>
      </c>
      <c r="F451" s="139">
        <v>0.16</v>
      </c>
      <c r="G451" s="140"/>
      <c r="H451" s="140"/>
      <c r="I451" s="140">
        <v>0</v>
      </c>
      <c r="J451" s="139">
        <v>1.3125000000000001E-2</v>
      </c>
      <c r="K451" s="139">
        <v>1.3125000000000001E-2</v>
      </c>
    </row>
    <row r="452" spans="1:28" x14ac:dyDescent="0.2">
      <c r="C452" s="20" t="s">
        <v>89</v>
      </c>
      <c r="D452" s="37">
        <v>128</v>
      </c>
      <c r="E452" s="144">
        <v>4.7692800000000002</v>
      </c>
      <c r="F452" s="37" t="s">
        <v>330</v>
      </c>
      <c r="G452" s="143">
        <v>5</v>
      </c>
      <c r="H452" s="37" t="s">
        <v>331</v>
      </c>
      <c r="I452" s="37"/>
      <c r="J452" s="37"/>
      <c r="K452" s="37"/>
    </row>
    <row r="453" spans="1:28" x14ac:dyDescent="0.2">
      <c r="C453" s="20" t="s">
        <v>92</v>
      </c>
      <c r="D453" s="37">
        <v>83</v>
      </c>
      <c r="E453" s="144">
        <v>2.9207699999999992</v>
      </c>
      <c r="F453" s="37" t="s">
        <v>332</v>
      </c>
      <c r="G453" s="143">
        <v>3</v>
      </c>
      <c r="H453" s="37" t="s">
        <v>333</v>
      </c>
      <c r="I453" s="37"/>
      <c r="J453" s="37"/>
      <c r="K453" s="37"/>
    </row>
    <row r="454" spans="1:28" x14ac:dyDescent="0.2">
      <c r="C454" s="20" t="s">
        <v>95</v>
      </c>
      <c r="D454" s="37"/>
      <c r="E454" s="144">
        <v>15.480049999999999</v>
      </c>
      <c r="F454" s="37"/>
      <c r="G454" s="143">
        <v>16</v>
      </c>
      <c r="H454" s="37"/>
      <c r="I454" s="37"/>
      <c r="J454" s="37"/>
      <c r="K454" s="37"/>
    </row>
    <row r="455" spans="1:28" ht="28.5" x14ac:dyDescent="0.2">
      <c r="A455" s="149" t="s">
        <v>2021</v>
      </c>
      <c r="B455" s="149" t="s">
        <v>1146</v>
      </c>
      <c r="C455" s="145" t="s">
        <v>573</v>
      </c>
      <c r="D455" s="3">
        <v>1</v>
      </c>
      <c r="E455" s="141">
        <v>0</v>
      </c>
      <c r="F455" s="141">
        <v>0</v>
      </c>
      <c r="G455" s="140">
        <v>0</v>
      </c>
      <c r="H455" s="140">
        <v>0</v>
      </c>
      <c r="I455" s="142">
        <v>0</v>
      </c>
      <c r="J455" s="141">
        <v>0</v>
      </c>
      <c r="K455" s="141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</row>
    <row r="456" spans="1:28" ht="14.25" x14ac:dyDescent="0.2">
      <c r="C456" s="35" t="s">
        <v>158</v>
      </c>
      <c r="D456" s="3"/>
      <c r="E456" s="139">
        <v>0</v>
      </c>
      <c r="F456" s="139">
        <v>0</v>
      </c>
      <c r="G456" s="140"/>
      <c r="H456" s="140"/>
      <c r="I456" s="140">
        <v>0</v>
      </c>
      <c r="J456" s="139">
        <v>0</v>
      </c>
      <c r="K456" s="139">
        <v>0</v>
      </c>
    </row>
    <row r="457" spans="1:28" ht="99.75" x14ac:dyDescent="0.2">
      <c r="A457" s="149" t="s">
        <v>91</v>
      </c>
      <c r="B457" s="149" t="s">
        <v>2010</v>
      </c>
      <c r="C457" s="145" t="s">
        <v>588</v>
      </c>
      <c r="D457" s="3">
        <v>1</v>
      </c>
      <c r="E457" s="141">
        <v>138.79</v>
      </c>
      <c r="F457" s="141">
        <v>0</v>
      </c>
      <c r="G457" s="140">
        <v>139</v>
      </c>
      <c r="H457" s="140">
        <v>0</v>
      </c>
      <c r="I457" s="142">
        <v>0</v>
      </c>
      <c r="J457" s="141">
        <v>0</v>
      </c>
      <c r="K457" s="141">
        <v>0</v>
      </c>
      <c r="T457">
        <v>139</v>
      </c>
      <c r="U457">
        <v>139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</row>
    <row r="458" spans="1:28" ht="14.25" x14ac:dyDescent="0.2">
      <c r="C458" s="35" t="s">
        <v>158</v>
      </c>
      <c r="D458" s="3"/>
      <c r="E458" s="139">
        <v>0</v>
      </c>
      <c r="F458" s="139">
        <v>0</v>
      </c>
      <c r="G458" s="140"/>
      <c r="H458" s="140"/>
      <c r="I458" s="140">
        <v>0</v>
      </c>
      <c r="J458" s="139">
        <v>0</v>
      </c>
      <c r="K458" s="139">
        <v>0</v>
      </c>
    </row>
    <row r="459" spans="1:28" ht="105" x14ac:dyDescent="0.2">
      <c r="A459" s="149" t="s">
        <v>238</v>
      </c>
      <c r="B459" s="149" t="s">
        <v>2011</v>
      </c>
      <c r="C459" s="145" t="s">
        <v>1900</v>
      </c>
      <c r="D459" s="3">
        <v>1</v>
      </c>
      <c r="E459" s="141">
        <v>20.440000000000001</v>
      </c>
      <c r="F459" s="141">
        <v>1.93</v>
      </c>
      <c r="G459" s="140">
        <v>20</v>
      </c>
      <c r="H459" s="140">
        <v>11</v>
      </c>
      <c r="I459" s="142">
        <v>2</v>
      </c>
      <c r="J459" s="141">
        <v>1.243725</v>
      </c>
      <c r="K459" s="141">
        <v>1.243725</v>
      </c>
      <c r="T459">
        <v>41</v>
      </c>
      <c r="U459">
        <v>7</v>
      </c>
      <c r="V459">
        <v>11</v>
      </c>
      <c r="W459">
        <v>2</v>
      </c>
      <c r="X459">
        <v>0</v>
      </c>
      <c r="Y459">
        <v>1.243725</v>
      </c>
      <c r="Z459">
        <v>1.3125000000000001E-2</v>
      </c>
      <c r="AA459">
        <v>13</v>
      </c>
      <c r="AB459">
        <v>8</v>
      </c>
    </row>
    <row r="460" spans="1:28" ht="14.25" x14ac:dyDescent="0.2">
      <c r="C460" s="35" t="s">
        <v>158</v>
      </c>
      <c r="D460" s="3"/>
      <c r="E460" s="139">
        <v>11.02</v>
      </c>
      <c r="F460" s="139">
        <v>0.16</v>
      </c>
      <c r="G460" s="140"/>
      <c r="H460" s="140"/>
      <c r="I460" s="140">
        <v>0</v>
      </c>
      <c r="J460" s="139">
        <v>1.3125000000000001E-2</v>
      </c>
      <c r="K460" s="139">
        <v>1.3125000000000001E-2</v>
      </c>
    </row>
    <row r="461" spans="1:28" x14ac:dyDescent="0.2">
      <c r="C461" s="20" t="s">
        <v>89</v>
      </c>
      <c r="D461" s="37">
        <v>128</v>
      </c>
      <c r="E461" s="144">
        <v>12.879359999999998</v>
      </c>
      <c r="F461" s="37" t="s">
        <v>330</v>
      </c>
      <c r="G461" s="143">
        <v>13</v>
      </c>
      <c r="H461" s="37" t="s">
        <v>331</v>
      </c>
      <c r="I461" s="37"/>
      <c r="J461" s="37"/>
      <c r="K461" s="37"/>
    </row>
    <row r="462" spans="1:28" x14ac:dyDescent="0.2">
      <c r="C462" s="20" t="s">
        <v>92</v>
      </c>
      <c r="D462" s="37">
        <v>83</v>
      </c>
      <c r="E462" s="144">
        <v>7.8874899999999988</v>
      </c>
      <c r="F462" s="37" t="s">
        <v>332</v>
      </c>
      <c r="G462" s="143">
        <v>8</v>
      </c>
      <c r="H462" s="37" t="s">
        <v>333</v>
      </c>
      <c r="I462" s="37"/>
      <c r="J462" s="37"/>
      <c r="K462" s="37"/>
    </row>
    <row r="463" spans="1:28" x14ac:dyDescent="0.2">
      <c r="C463" s="20" t="s">
        <v>95</v>
      </c>
      <c r="D463" s="37"/>
      <c r="E463" s="144">
        <v>41.206850000000003</v>
      </c>
      <c r="F463" s="37"/>
      <c r="G463" s="143">
        <v>41</v>
      </c>
      <c r="H463" s="37"/>
      <c r="I463" s="37"/>
      <c r="J463" s="37"/>
      <c r="K463" s="37"/>
    </row>
    <row r="464" spans="1:28" ht="14.25" x14ac:dyDescent="0.2">
      <c r="A464" s="149" t="s">
        <v>1504</v>
      </c>
      <c r="B464" s="149" t="s">
        <v>1146</v>
      </c>
      <c r="C464" s="145" t="s">
        <v>589</v>
      </c>
      <c r="D464" s="3">
        <v>1</v>
      </c>
      <c r="E464" s="141">
        <v>0</v>
      </c>
      <c r="F464" s="141">
        <v>0</v>
      </c>
      <c r="G464" s="140">
        <v>0</v>
      </c>
      <c r="H464" s="140">
        <v>0</v>
      </c>
      <c r="I464" s="142">
        <v>0</v>
      </c>
      <c r="J464" s="141">
        <v>0</v>
      </c>
      <c r="K464" s="141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</row>
    <row r="465" spans="1:28" ht="14.25" x14ac:dyDescent="0.2">
      <c r="C465" s="35" t="s">
        <v>158</v>
      </c>
      <c r="D465" s="3"/>
      <c r="E465" s="139">
        <v>0</v>
      </c>
      <c r="F465" s="139">
        <v>0</v>
      </c>
      <c r="G465" s="140"/>
      <c r="H465" s="140"/>
      <c r="I465" s="140">
        <v>0</v>
      </c>
      <c r="J465" s="139">
        <v>0</v>
      </c>
      <c r="K465" s="139">
        <v>0</v>
      </c>
    </row>
    <row r="466" spans="1:28" ht="99.75" x14ac:dyDescent="0.2">
      <c r="A466" s="149" t="s">
        <v>239</v>
      </c>
      <c r="B466" s="149" t="s">
        <v>2013</v>
      </c>
      <c r="C466" s="145" t="s">
        <v>590</v>
      </c>
      <c r="D466" s="3">
        <v>1</v>
      </c>
      <c r="E466" s="141">
        <v>76.14</v>
      </c>
      <c r="F466" s="141">
        <v>0</v>
      </c>
      <c r="G466" s="140">
        <v>76</v>
      </c>
      <c r="H466" s="140">
        <v>0</v>
      </c>
      <c r="I466" s="142">
        <v>0</v>
      </c>
      <c r="J466" s="141">
        <v>0</v>
      </c>
      <c r="K466" s="141">
        <v>0</v>
      </c>
      <c r="T466">
        <v>76</v>
      </c>
      <c r="U466">
        <v>76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</row>
    <row r="467" spans="1:28" ht="14.25" x14ac:dyDescent="0.2">
      <c r="C467" s="35" t="s">
        <v>158</v>
      </c>
      <c r="D467" s="3"/>
      <c r="E467" s="139">
        <v>0</v>
      </c>
      <c r="F467" s="139">
        <v>0</v>
      </c>
      <c r="G467" s="140"/>
      <c r="H467" s="140"/>
      <c r="I467" s="140">
        <v>0</v>
      </c>
      <c r="J467" s="139">
        <v>0</v>
      </c>
      <c r="K467" s="139">
        <v>0</v>
      </c>
    </row>
    <row r="468" spans="1:28" ht="119.25" x14ac:dyDescent="0.2">
      <c r="A468" s="149" t="s">
        <v>241</v>
      </c>
      <c r="B468" s="149" t="s">
        <v>2000</v>
      </c>
      <c r="C468" s="145" t="s">
        <v>1896</v>
      </c>
      <c r="D468" s="3">
        <v>1</v>
      </c>
      <c r="E468" s="141">
        <v>77.86</v>
      </c>
      <c r="F468" s="141">
        <v>1.93</v>
      </c>
      <c r="G468" s="140">
        <v>78</v>
      </c>
      <c r="H468" s="140">
        <v>12</v>
      </c>
      <c r="I468" s="142">
        <v>2</v>
      </c>
      <c r="J468" s="141">
        <v>1.292025</v>
      </c>
      <c r="K468" s="141">
        <v>1.292025</v>
      </c>
      <c r="T468">
        <v>100</v>
      </c>
      <c r="U468">
        <v>64</v>
      </c>
      <c r="V468">
        <v>12</v>
      </c>
      <c r="W468">
        <v>2</v>
      </c>
      <c r="X468">
        <v>0</v>
      </c>
      <c r="Y468">
        <v>1.292025</v>
      </c>
      <c r="Z468">
        <v>1.3125000000000001E-2</v>
      </c>
      <c r="AA468">
        <v>14</v>
      </c>
      <c r="AB468">
        <v>8</v>
      </c>
    </row>
    <row r="469" spans="1:28" ht="14.25" x14ac:dyDescent="0.2">
      <c r="C469" s="35" t="s">
        <v>158</v>
      </c>
      <c r="D469" s="3"/>
      <c r="E469" s="139">
        <v>11.59</v>
      </c>
      <c r="F469" s="139">
        <v>0.16</v>
      </c>
      <c r="G469" s="140"/>
      <c r="H469" s="140"/>
      <c r="I469" s="140">
        <v>0</v>
      </c>
      <c r="J469" s="139">
        <v>1.3125000000000001E-2</v>
      </c>
      <c r="K469" s="139">
        <v>1.3125000000000001E-2</v>
      </c>
    </row>
    <row r="470" spans="1:28" x14ac:dyDescent="0.2">
      <c r="C470" s="20" t="s">
        <v>89</v>
      </c>
      <c r="D470" s="37">
        <v>128</v>
      </c>
      <c r="E470" s="144">
        <v>13.536000000000001</v>
      </c>
      <c r="F470" s="37" t="s">
        <v>330</v>
      </c>
      <c r="G470" s="143">
        <v>14</v>
      </c>
      <c r="H470" s="37" t="s">
        <v>331</v>
      </c>
      <c r="I470" s="37"/>
      <c r="J470" s="37"/>
      <c r="K470" s="37"/>
    </row>
    <row r="471" spans="1:28" x14ac:dyDescent="0.2">
      <c r="C471" s="20" t="s">
        <v>92</v>
      </c>
      <c r="D471" s="37">
        <v>83</v>
      </c>
      <c r="E471" s="144">
        <v>8.2896249999999991</v>
      </c>
      <c r="F471" s="37" t="s">
        <v>332</v>
      </c>
      <c r="G471" s="143">
        <v>8</v>
      </c>
      <c r="H471" s="37" t="s">
        <v>333</v>
      </c>
      <c r="I471" s="37"/>
      <c r="J471" s="37"/>
      <c r="K471" s="37"/>
    </row>
    <row r="472" spans="1:28" x14ac:dyDescent="0.2">
      <c r="C472" s="20" t="s">
        <v>95</v>
      </c>
      <c r="D472" s="37"/>
      <c r="E472" s="144">
        <v>99.685625000000002</v>
      </c>
      <c r="F472" s="37"/>
      <c r="G472" s="143">
        <v>100</v>
      </c>
      <c r="H472" s="37"/>
      <c r="I472" s="37"/>
      <c r="J472" s="37"/>
      <c r="K472" s="37"/>
    </row>
    <row r="473" spans="1:28" ht="119.25" x14ac:dyDescent="0.2">
      <c r="A473" s="149" t="s">
        <v>242</v>
      </c>
      <c r="B473" s="149" t="s">
        <v>2014</v>
      </c>
      <c r="C473" s="145" t="s">
        <v>1899</v>
      </c>
      <c r="D473" s="3">
        <v>1</v>
      </c>
      <c r="E473" s="141">
        <v>221.25</v>
      </c>
      <c r="F473" s="141">
        <v>5</v>
      </c>
      <c r="G473" s="140">
        <v>221</v>
      </c>
      <c r="H473" s="140">
        <v>44</v>
      </c>
      <c r="I473" s="142">
        <v>5</v>
      </c>
      <c r="J473" s="141">
        <v>4.8541499999999997</v>
      </c>
      <c r="K473" s="141">
        <v>4.8541499999999997</v>
      </c>
      <c r="T473">
        <v>303</v>
      </c>
      <c r="U473">
        <v>172</v>
      </c>
      <c r="V473">
        <v>44</v>
      </c>
      <c r="W473">
        <v>5</v>
      </c>
      <c r="X473">
        <v>0</v>
      </c>
      <c r="Y473">
        <v>4.8541499999999997</v>
      </c>
      <c r="Z473">
        <v>1.3125000000000001E-2</v>
      </c>
      <c r="AA473">
        <v>51</v>
      </c>
      <c r="AB473">
        <v>31</v>
      </c>
    </row>
    <row r="474" spans="1:28" ht="14.25" x14ac:dyDescent="0.2">
      <c r="C474" s="35" t="s">
        <v>158</v>
      </c>
      <c r="D474" s="3"/>
      <c r="E474" s="139">
        <v>44.03</v>
      </c>
      <c r="F474" s="139">
        <v>0.16</v>
      </c>
      <c r="G474" s="140"/>
      <c r="H474" s="140"/>
      <c r="I474" s="140">
        <v>0</v>
      </c>
      <c r="J474" s="139">
        <v>1.3125000000000001E-2</v>
      </c>
      <c r="K474" s="139">
        <v>1.3125000000000001E-2</v>
      </c>
    </row>
    <row r="475" spans="1:28" x14ac:dyDescent="0.2">
      <c r="C475" s="20" t="s">
        <v>89</v>
      </c>
      <c r="D475" s="37">
        <v>128</v>
      </c>
      <c r="E475" s="144">
        <v>50.906880000000001</v>
      </c>
      <c r="F475" s="37" t="s">
        <v>330</v>
      </c>
      <c r="G475" s="143">
        <v>51</v>
      </c>
      <c r="H475" s="37" t="s">
        <v>331</v>
      </c>
      <c r="I475" s="37"/>
      <c r="J475" s="37"/>
      <c r="K475" s="37"/>
    </row>
    <row r="476" spans="1:28" x14ac:dyDescent="0.2">
      <c r="C476" s="20" t="s">
        <v>92</v>
      </c>
      <c r="D476" s="37">
        <v>83</v>
      </c>
      <c r="E476" s="144">
        <v>31.176044999999998</v>
      </c>
      <c r="F476" s="37" t="s">
        <v>332</v>
      </c>
      <c r="G476" s="143">
        <v>31</v>
      </c>
      <c r="H476" s="37" t="s">
        <v>333</v>
      </c>
      <c r="I476" s="37"/>
      <c r="J476" s="37"/>
      <c r="K476" s="37"/>
    </row>
    <row r="477" spans="1:28" x14ac:dyDescent="0.2">
      <c r="C477" s="20" t="s">
        <v>95</v>
      </c>
      <c r="D477" s="37"/>
      <c r="E477" s="144">
        <v>303.33292499999999</v>
      </c>
      <c r="F477" s="37"/>
      <c r="G477" s="143">
        <v>303</v>
      </c>
      <c r="H477" s="37"/>
      <c r="I477" s="37"/>
      <c r="J477" s="37"/>
      <c r="K477" s="37"/>
    </row>
    <row r="478" spans="1:28" ht="14.25" x14ac:dyDescent="0.2">
      <c r="A478" s="149" t="s">
        <v>1492</v>
      </c>
      <c r="B478" s="149" t="s">
        <v>1146</v>
      </c>
      <c r="C478" s="145" t="s">
        <v>591</v>
      </c>
      <c r="D478" s="3">
        <v>1</v>
      </c>
      <c r="E478" s="141">
        <v>0</v>
      </c>
      <c r="F478" s="141">
        <v>0</v>
      </c>
      <c r="G478" s="140">
        <v>0</v>
      </c>
      <c r="H478" s="140">
        <v>0</v>
      </c>
      <c r="I478" s="142">
        <v>0</v>
      </c>
      <c r="J478" s="141">
        <v>0</v>
      </c>
      <c r="K478" s="141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</row>
    <row r="479" spans="1:28" ht="14.25" x14ac:dyDescent="0.2">
      <c r="C479" s="35" t="s">
        <v>158</v>
      </c>
      <c r="D479" s="3"/>
      <c r="E479" s="139">
        <v>0</v>
      </c>
      <c r="F479" s="139">
        <v>0</v>
      </c>
      <c r="G479" s="140"/>
      <c r="H479" s="140"/>
      <c r="I479" s="140">
        <v>0</v>
      </c>
      <c r="J479" s="139">
        <v>0</v>
      </c>
      <c r="K479" s="139">
        <v>0</v>
      </c>
    </row>
    <row r="480" spans="1:28" ht="99.75" x14ac:dyDescent="0.2">
      <c r="A480" s="149" t="s">
        <v>243</v>
      </c>
      <c r="B480" s="149" t="s">
        <v>2015</v>
      </c>
      <c r="C480" s="145" t="s">
        <v>592</v>
      </c>
      <c r="D480" s="3">
        <v>1</v>
      </c>
      <c r="E480" s="141">
        <v>1248.18</v>
      </c>
      <c r="F480" s="141">
        <v>0</v>
      </c>
      <c r="G480" s="140">
        <v>1248</v>
      </c>
      <c r="H480" s="140">
        <v>0</v>
      </c>
      <c r="I480" s="142">
        <v>0</v>
      </c>
      <c r="J480" s="141">
        <v>0</v>
      </c>
      <c r="K480" s="141">
        <v>0</v>
      </c>
      <c r="T480">
        <v>1248</v>
      </c>
      <c r="U480">
        <v>1248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</row>
    <row r="481" spans="1:28" ht="14.25" x14ac:dyDescent="0.2">
      <c r="C481" s="35" t="s">
        <v>158</v>
      </c>
      <c r="D481" s="3"/>
      <c r="E481" s="139">
        <v>0</v>
      </c>
      <c r="F481" s="139">
        <v>0</v>
      </c>
      <c r="G481" s="140"/>
      <c r="H481" s="140"/>
      <c r="I481" s="140">
        <v>0</v>
      </c>
      <c r="J481" s="139">
        <v>0</v>
      </c>
      <c r="K481" s="139">
        <v>0</v>
      </c>
    </row>
    <row r="482" spans="1:28" ht="133.5" x14ac:dyDescent="0.2">
      <c r="A482" s="149" t="s">
        <v>244</v>
      </c>
      <c r="B482" s="149" t="s">
        <v>1987</v>
      </c>
      <c r="C482" s="145" t="s">
        <v>1894</v>
      </c>
      <c r="D482" s="3">
        <v>2.8000000000000001E-2</v>
      </c>
      <c r="E482" s="141">
        <v>2045.99</v>
      </c>
      <c r="F482" s="141">
        <v>123.7</v>
      </c>
      <c r="G482" s="140">
        <v>57</v>
      </c>
      <c r="H482" s="140">
        <v>42</v>
      </c>
      <c r="I482" s="142">
        <v>3</v>
      </c>
      <c r="J482" s="141">
        <v>170.25749999999999</v>
      </c>
      <c r="K482" s="141">
        <v>4.7672099999999995</v>
      </c>
      <c r="T482">
        <v>135</v>
      </c>
      <c r="U482">
        <v>12</v>
      </c>
      <c r="V482">
        <v>42</v>
      </c>
      <c r="W482">
        <v>3</v>
      </c>
      <c r="X482">
        <v>0</v>
      </c>
      <c r="Y482">
        <v>4.7672099999999995</v>
      </c>
      <c r="Z482">
        <v>3.4544999999999999E-2</v>
      </c>
      <c r="AA482">
        <v>48</v>
      </c>
      <c r="AB482">
        <v>30</v>
      </c>
    </row>
    <row r="483" spans="1:28" ht="14.25" x14ac:dyDescent="0.2">
      <c r="C483" s="35" t="s">
        <v>97</v>
      </c>
      <c r="D483" s="3"/>
      <c r="E483" s="139">
        <v>1488.05</v>
      </c>
      <c r="F483" s="139">
        <v>15.26</v>
      </c>
      <c r="G483" s="140"/>
      <c r="H483" s="140"/>
      <c r="I483" s="140">
        <v>0</v>
      </c>
      <c r="J483" s="139">
        <v>1.2337499999999999</v>
      </c>
      <c r="K483" s="139">
        <v>3.4544999999999999E-2</v>
      </c>
    </row>
    <row r="484" spans="1:28" x14ac:dyDescent="0.2">
      <c r="C484" s="36" t="s">
        <v>593</v>
      </c>
    </row>
    <row r="485" spans="1:28" x14ac:dyDescent="0.2">
      <c r="C485" s="20" t="s">
        <v>89</v>
      </c>
      <c r="D485" s="37">
        <v>128</v>
      </c>
      <c r="E485" s="144">
        <v>1731.81312</v>
      </c>
      <c r="F485" s="37" t="s">
        <v>330</v>
      </c>
      <c r="G485" s="143">
        <v>48</v>
      </c>
      <c r="H485" s="37" t="s">
        <v>331</v>
      </c>
      <c r="I485" s="37"/>
      <c r="J485" s="37"/>
      <c r="K485" s="37"/>
    </row>
    <row r="486" spans="1:28" x14ac:dyDescent="0.2">
      <c r="C486" s="20" t="s">
        <v>92</v>
      </c>
      <c r="D486" s="37">
        <v>83</v>
      </c>
      <c r="E486" s="144">
        <v>1060.5852050000001</v>
      </c>
      <c r="F486" s="37" t="s">
        <v>332</v>
      </c>
      <c r="G486" s="143">
        <v>30</v>
      </c>
      <c r="H486" s="37" t="s">
        <v>333</v>
      </c>
      <c r="I486" s="37"/>
      <c r="J486" s="37"/>
      <c r="K486" s="37"/>
    </row>
    <row r="487" spans="1:28" x14ac:dyDescent="0.2">
      <c r="C487" s="20" t="s">
        <v>95</v>
      </c>
      <c r="D487" s="37"/>
      <c r="E487" s="144">
        <v>4838.3883249999999</v>
      </c>
      <c r="F487" s="37"/>
      <c r="G487" s="143">
        <v>135</v>
      </c>
      <c r="H487" s="37"/>
      <c r="I487" s="37"/>
      <c r="J487" s="37"/>
      <c r="K487" s="37"/>
    </row>
    <row r="488" spans="1:28" ht="14.25" x14ac:dyDescent="0.2">
      <c r="A488" s="149" t="s">
        <v>1495</v>
      </c>
      <c r="B488" s="149" t="s">
        <v>1146</v>
      </c>
      <c r="C488" s="145" t="s">
        <v>535</v>
      </c>
      <c r="D488" s="3">
        <v>2.8</v>
      </c>
      <c r="E488" s="141">
        <v>0</v>
      </c>
      <c r="F488" s="141">
        <v>0</v>
      </c>
      <c r="G488" s="140">
        <v>0</v>
      </c>
      <c r="H488" s="140">
        <v>0</v>
      </c>
      <c r="I488" s="142">
        <v>0</v>
      </c>
      <c r="J488" s="141">
        <v>0</v>
      </c>
      <c r="K488" s="141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</row>
    <row r="489" spans="1:28" ht="14.25" x14ac:dyDescent="0.2">
      <c r="C489" s="35" t="s">
        <v>117</v>
      </c>
      <c r="D489" s="3"/>
      <c r="E489" s="139">
        <v>0</v>
      </c>
      <c r="F489" s="139">
        <v>0</v>
      </c>
      <c r="G489" s="140"/>
      <c r="H489" s="140"/>
      <c r="I489" s="140">
        <v>0</v>
      </c>
      <c r="J489" s="139">
        <v>0</v>
      </c>
      <c r="K489" s="139">
        <v>0</v>
      </c>
    </row>
    <row r="490" spans="1:28" ht="99.75" x14ac:dyDescent="0.2">
      <c r="A490" s="149" t="s">
        <v>245</v>
      </c>
      <c r="B490" s="149" t="s">
        <v>2018</v>
      </c>
      <c r="C490" s="145" t="s">
        <v>540</v>
      </c>
      <c r="D490" s="3">
        <v>1.2</v>
      </c>
      <c r="E490" s="141">
        <v>123.43</v>
      </c>
      <c r="F490" s="141">
        <v>0</v>
      </c>
      <c r="G490" s="140">
        <v>148</v>
      </c>
      <c r="H490" s="140">
        <v>0</v>
      </c>
      <c r="I490" s="142">
        <v>0</v>
      </c>
      <c r="J490" s="141">
        <v>0</v>
      </c>
      <c r="K490" s="141">
        <v>0</v>
      </c>
      <c r="T490">
        <v>148</v>
      </c>
      <c r="U490">
        <v>148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</row>
    <row r="491" spans="1:28" ht="14.25" x14ac:dyDescent="0.2">
      <c r="C491" s="35" t="s">
        <v>117</v>
      </c>
      <c r="D491" s="3"/>
      <c r="E491" s="139">
        <v>0</v>
      </c>
      <c r="F491" s="139">
        <v>0</v>
      </c>
      <c r="G491" s="140"/>
      <c r="H491" s="140"/>
      <c r="I491" s="140">
        <v>0</v>
      </c>
      <c r="J491" s="139">
        <v>0</v>
      </c>
      <c r="K491" s="139">
        <v>0</v>
      </c>
    </row>
    <row r="492" spans="1:28" ht="99.75" x14ac:dyDescent="0.2">
      <c r="A492" s="149" t="s">
        <v>246</v>
      </c>
      <c r="B492" s="149" t="s">
        <v>2019</v>
      </c>
      <c r="C492" s="145" t="s">
        <v>542</v>
      </c>
      <c r="D492" s="3">
        <v>0.7</v>
      </c>
      <c r="E492" s="141">
        <v>133.61000000000001</v>
      </c>
      <c r="F492" s="141">
        <v>0</v>
      </c>
      <c r="G492" s="140">
        <v>94</v>
      </c>
      <c r="H492" s="140">
        <v>0</v>
      </c>
      <c r="I492" s="142">
        <v>0</v>
      </c>
      <c r="J492" s="141">
        <v>0</v>
      </c>
      <c r="K492" s="141">
        <v>0</v>
      </c>
      <c r="T492">
        <v>94</v>
      </c>
      <c r="U492">
        <v>94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</row>
    <row r="493" spans="1:28" ht="14.25" x14ac:dyDescent="0.2">
      <c r="C493" s="35" t="s">
        <v>117</v>
      </c>
      <c r="D493" s="3"/>
      <c r="E493" s="139">
        <v>0</v>
      </c>
      <c r="F493" s="139">
        <v>0</v>
      </c>
      <c r="G493" s="140"/>
      <c r="H493" s="140"/>
      <c r="I493" s="140">
        <v>0</v>
      </c>
      <c r="J493" s="139">
        <v>0</v>
      </c>
      <c r="K493" s="139">
        <v>0</v>
      </c>
    </row>
    <row r="494" spans="1:28" ht="99.75" x14ac:dyDescent="0.2">
      <c r="A494" s="149" t="s">
        <v>188</v>
      </c>
      <c r="B494" s="149" t="s">
        <v>2004</v>
      </c>
      <c r="C494" s="145" t="s">
        <v>546</v>
      </c>
      <c r="D494" s="3">
        <v>0.25</v>
      </c>
      <c r="E494" s="141">
        <v>176.15</v>
      </c>
      <c r="F494" s="141">
        <v>0</v>
      </c>
      <c r="G494" s="140">
        <v>44</v>
      </c>
      <c r="H494" s="140">
        <v>0</v>
      </c>
      <c r="I494" s="142">
        <v>0</v>
      </c>
      <c r="J494" s="141">
        <v>0</v>
      </c>
      <c r="K494" s="141">
        <v>0</v>
      </c>
      <c r="T494">
        <v>44</v>
      </c>
      <c r="U494">
        <v>44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</row>
    <row r="495" spans="1:28" ht="14.25" x14ac:dyDescent="0.2">
      <c r="C495" s="35" t="s">
        <v>117</v>
      </c>
      <c r="D495" s="3"/>
      <c r="E495" s="139">
        <v>0</v>
      </c>
      <c r="F495" s="139">
        <v>0</v>
      </c>
      <c r="G495" s="140"/>
      <c r="H495" s="140"/>
      <c r="I495" s="140">
        <v>0</v>
      </c>
      <c r="J495" s="139">
        <v>0</v>
      </c>
      <c r="K495" s="139">
        <v>0</v>
      </c>
    </row>
    <row r="496" spans="1:28" x14ac:dyDescent="0.2">
      <c r="C496" s="36" t="s">
        <v>594</v>
      </c>
    </row>
    <row r="497" spans="1:28" ht="99.75" x14ac:dyDescent="0.2">
      <c r="A497" s="149" t="s">
        <v>247</v>
      </c>
      <c r="B497" s="149" t="s">
        <v>1982</v>
      </c>
      <c r="C497" s="145" t="s">
        <v>595</v>
      </c>
      <c r="D497" s="3">
        <v>0.6</v>
      </c>
      <c r="E497" s="141">
        <v>185.53</v>
      </c>
      <c r="F497" s="141">
        <v>0</v>
      </c>
      <c r="G497" s="140">
        <v>111</v>
      </c>
      <c r="H497" s="140">
        <v>0</v>
      </c>
      <c r="I497" s="142">
        <v>0</v>
      </c>
      <c r="J497" s="141">
        <v>0</v>
      </c>
      <c r="K497" s="141">
        <v>0</v>
      </c>
      <c r="T497">
        <v>111</v>
      </c>
      <c r="U497">
        <v>111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</row>
    <row r="498" spans="1:28" ht="14.25" x14ac:dyDescent="0.2">
      <c r="C498" s="35" t="s">
        <v>117</v>
      </c>
      <c r="D498" s="3"/>
      <c r="E498" s="139">
        <v>0</v>
      </c>
      <c r="F498" s="139">
        <v>0</v>
      </c>
      <c r="G498" s="140"/>
      <c r="H498" s="140"/>
      <c r="I498" s="140">
        <v>0</v>
      </c>
      <c r="J498" s="139">
        <v>0</v>
      </c>
      <c r="K498" s="139">
        <v>0</v>
      </c>
    </row>
    <row r="499" spans="1:28" x14ac:dyDescent="0.2">
      <c r="C499" s="36" t="s">
        <v>596</v>
      </c>
    </row>
    <row r="500" spans="1:28" ht="133.5" x14ac:dyDescent="0.2">
      <c r="A500" s="149" t="s">
        <v>248</v>
      </c>
      <c r="B500" s="149" t="s">
        <v>1978</v>
      </c>
      <c r="C500" s="145" t="s">
        <v>1890</v>
      </c>
      <c r="D500" s="3">
        <v>0.02</v>
      </c>
      <c r="E500" s="141">
        <v>2214.02</v>
      </c>
      <c r="F500" s="141">
        <v>154.12</v>
      </c>
      <c r="G500" s="140">
        <v>45</v>
      </c>
      <c r="H500" s="140">
        <v>33</v>
      </c>
      <c r="I500" s="142">
        <v>3</v>
      </c>
      <c r="J500" s="141">
        <v>185.95500000000001</v>
      </c>
      <c r="K500" s="141">
        <v>3.7191000000000005</v>
      </c>
      <c r="T500">
        <v>106</v>
      </c>
      <c r="U500">
        <v>9</v>
      </c>
      <c r="V500">
        <v>33</v>
      </c>
      <c r="W500">
        <v>3</v>
      </c>
      <c r="X500">
        <v>0</v>
      </c>
      <c r="Y500">
        <v>3.7191000000000005</v>
      </c>
      <c r="Z500">
        <v>3.1500000000000007E-2</v>
      </c>
      <c r="AA500">
        <v>38</v>
      </c>
      <c r="AB500">
        <v>23</v>
      </c>
    </row>
    <row r="501" spans="1:28" ht="14.25" x14ac:dyDescent="0.2">
      <c r="C501" s="35" t="s">
        <v>97</v>
      </c>
      <c r="D501" s="3"/>
      <c r="E501" s="139">
        <v>1625.25</v>
      </c>
      <c r="F501" s="139">
        <v>19.46</v>
      </c>
      <c r="G501" s="140"/>
      <c r="H501" s="140"/>
      <c r="I501" s="140">
        <v>0</v>
      </c>
      <c r="J501" s="139">
        <v>1.5750000000000002</v>
      </c>
      <c r="K501" s="139">
        <v>3.1500000000000007E-2</v>
      </c>
    </row>
    <row r="502" spans="1:28" x14ac:dyDescent="0.2">
      <c r="C502" s="36" t="s">
        <v>216</v>
      </c>
    </row>
    <row r="503" spans="1:28" x14ac:dyDescent="0.2">
      <c r="C503" s="20" t="s">
        <v>89</v>
      </c>
      <c r="D503" s="37">
        <v>128</v>
      </c>
      <c r="E503" s="144">
        <v>1894.7059200000001</v>
      </c>
      <c r="F503" s="37" t="s">
        <v>330</v>
      </c>
      <c r="G503" s="143">
        <v>38</v>
      </c>
      <c r="H503" s="37" t="s">
        <v>331</v>
      </c>
      <c r="I503" s="37"/>
      <c r="J503" s="37"/>
      <c r="K503" s="37"/>
    </row>
    <row r="504" spans="1:28" x14ac:dyDescent="0.2">
      <c r="C504" s="20" t="s">
        <v>92</v>
      </c>
      <c r="D504" s="37">
        <v>83</v>
      </c>
      <c r="E504" s="144">
        <v>1160.342905</v>
      </c>
      <c r="F504" s="37" t="s">
        <v>332</v>
      </c>
      <c r="G504" s="143">
        <v>23</v>
      </c>
      <c r="H504" s="37" t="s">
        <v>333</v>
      </c>
      <c r="I504" s="37"/>
      <c r="J504" s="37"/>
      <c r="K504" s="37"/>
    </row>
    <row r="505" spans="1:28" x14ac:dyDescent="0.2">
      <c r="C505" s="20" t="s">
        <v>95</v>
      </c>
      <c r="D505" s="37"/>
      <c r="E505" s="144">
        <v>5269.0688250000003</v>
      </c>
      <c r="F505" s="37"/>
      <c r="G505" s="143">
        <v>106</v>
      </c>
      <c r="H505" s="37"/>
      <c r="I505" s="37"/>
      <c r="J505" s="37"/>
      <c r="K505" s="37"/>
    </row>
    <row r="506" spans="1:28" ht="14.25" x14ac:dyDescent="0.2">
      <c r="A506" s="149" t="s">
        <v>2022</v>
      </c>
      <c r="B506" s="149" t="s">
        <v>1146</v>
      </c>
      <c r="C506" s="145" t="s">
        <v>535</v>
      </c>
      <c r="D506" s="3">
        <v>2</v>
      </c>
      <c r="E506" s="141">
        <v>0</v>
      </c>
      <c r="F506" s="141">
        <v>0</v>
      </c>
      <c r="G506" s="140">
        <v>0</v>
      </c>
      <c r="H506" s="140">
        <v>0</v>
      </c>
      <c r="I506" s="142">
        <v>0</v>
      </c>
      <c r="J506" s="141">
        <v>0</v>
      </c>
      <c r="K506" s="141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</row>
    <row r="507" spans="1:28" ht="14.25" x14ac:dyDescent="0.2">
      <c r="C507" s="35" t="s">
        <v>117</v>
      </c>
      <c r="D507" s="3"/>
      <c r="E507" s="139">
        <v>0</v>
      </c>
      <c r="F507" s="139">
        <v>0</v>
      </c>
      <c r="G507" s="140"/>
      <c r="H507" s="140"/>
      <c r="I507" s="140">
        <v>0</v>
      </c>
      <c r="J507" s="139">
        <v>0</v>
      </c>
      <c r="K507" s="139">
        <v>0</v>
      </c>
    </row>
    <row r="508" spans="1:28" ht="99.75" x14ac:dyDescent="0.2">
      <c r="A508" s="149" t="s">
        <v>249</v>
      </c>
      <c r="B508" s="149" t="s">
        <v>2020</v>
      </c>
      <c r="C508" s="145" t="s">
        <v>597</v>
      </c>
      <c r="D508" s="3">
        <v>2</v>
      </c>
      <c r="E508" s="141">
        <v>73.02</v>
      </c>
      <c r="F508" s="141">
        <v>0</v>
      </c>
      <c r="G508" s="140">
        <v>146</v>
      </c>
      <c r="H508" s="140">
        <v>0</v>
      </c>
      <c r="I508" s="142">
        <v>0</v>
      </c>
      <c r="J508" s="141">
        <v>0</v>
      </c>
      <c r="K508" s="141">
        <v>0</v>
      </c>
      <c r="T508">
        <v>146</v>
      </c>
      <c r="U508">
        <v>146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</row>
    <row r="509" spans="1:28" ht="14.25" x14ac:dyDescent="0.2">
      <c r="C509" s="35" t="s">
        <v>117</v>
      </c>
      <c r="D509" s="3"/>
      <c r="E509" s="139">
        <v>0</v>
      </c>
      <c r="F509" s="139">
        <v>0</v>
      </c>
      <c r="G509" s="140"/>
      <c r="H509" s="140"/>
      <c r="I509" s="140">
        <v>0</v>
      </c>
      <c r="J509" s="139">
        <v>0</v>
      </c>
      <c r="K509" s="139">
        <v>0</v>
      </c>
    </row>
    <row r="510" spans="1:28" ht="99.75" x14ac:dyDescent="0.2">
      <c r="A510" s="149" t="s">
        <v>250</v>
      </c>
      <c r="B510" s="149" t="s">
        <v>1986</v>
      </c>
      <c r="C510" s="145" t="s">
        <v>548</v>
      </c>
      <c r="D510" s="3">
        <v>1E-3</v>
      </c>
      <c r="E510" s="141">
        <v>12676.79</v>
      </c>
      <c r="F510" s="141">
        <v>0</v>
      </c>
      <c r="G510" s="140">
        <v>13</v>
      </c>
      <c r="H510" s="140">
        <v>0</v>
      </c>
      <c r="I510" s="142">
        <v>0</v>
      </c>
      <c r="J510" s="141">
        <v>0</v>
      </c>
      <c r="K510" s="141">
        <v>0</v>
      </c>
      <c r="T510">
        <v>13</v>
      </c>
      <c r="U510">
        <v>13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</row>
    <row r="511" spans="1:28" ht="14.25" x14ac:dyDescent="0.2">
      <c r="C511" s="35" t="s">
        <v>99</v>
      </c>
      <c r="D511" s="3"/>
      <c r="E511" s="139">
        <v>0</v>
      </c>
      <c r="F511" s="139">
        <v>0</v>
      </c>
      <c r="G511" s="140"/>
      <c r="H511" s="140"/>
      <c r="I511" s="140">
        <v>0</v>
      </c>
      <c r="J511" s="139">
        <v>0</v>
      </c>
      <c r="K511" s="139">
        <v>0</v>
      </c>
    </row>
    <row r="512" spans="1:28" x14ac:dyDescent="0.2">
      <c r="C512" s="36" t="s">
        <v>598</v>
      </c>
    </row>
    <row r="514" spans="1:28" ht="15" x14ac:dyDescent="0.25">
      <c r="A514" s="4"/>
      <c r="B514" s="4"/>
      <c r="C514" s="187" t="s">
        <v>599</v>
      </c>
      <c r="D514" s="187"/>
      <c r="E514" s="187"/>
      <c r="F514" s="187"/>
      <c r="G514" s="136">
        <f>IF(SUM(T442:T513)=0, "-", SUM(T442:T513))</f>
        <v>4221</v>
      </c>
      <c r="H514" s="136">
        <f>IF(SUM(V442:V513)=0, "-", SUM(V442:V513))</f>
        <v>205</v>
      </c>
      <c r="I514" s="138">
        <f>IF(SUM(W442:W513)=0, "-", SUM(W442:W513))</f>
        <v>25</v>
      </c>
      <c r="J514" s="136"/>
      <c r="K514" s="137">
        <f>IF(SUM(Y442:Y513)=0, "-", SUM(Y442:Y513))</f>
        <v>23.210909999999998</v>
      </c>
    </row>
    <row r="515" spans="1:28" ht="15" x14ac:dyDescent="0.25">
      <c r="A515" s="4"/>
      <c r="B515" s="4"/>
      <c r="C515" s="4"/>
      <c r="D515" s="4"/>
      <c r="E515" s="4"/>
      <c r="F515" s="4"/>
      <c r="G515" s="136"/>
      <c r="H515" s="136"/>
      <c r="I515" s="136" t="str">
        <f>IF(SUM(X442:X513)=0, "-", SUM(X442:X513))</f>
        <v>-</v>
      </c>
      <c r="J515" s="136"/>
      <c r="K515" s="135">
        <f>IF(SUM(Z442:Z513)=0, "-", SUM(Z442:Z513))</f>
        <v>0.14354500000000001</v>
      </c>
    </row>
    <row r="518" spans="1:28" ht="14.25" x14ac:dyDescent="0.2">
      <c r="C518" s="183" t="s">
        <v>127</v>
      </c>
      <c r="D518" s="183"/>
      <c r="E518" s="183"/>
      <c r="F518" s="183"/>
      <c r="G518" s="183"/>
      <c r="H518" s="172">
        <v>205</v>
      </c>
      <c r="I518" s="172"/>
    </row>
    <row r="519" spans="1:28" ht="14.25" x14ac:dyDescent="0.2">
      <c r="C519" s="183" t="s">
        <v>128</v>
      </c>
      <c r="D519" s="183"/>
      <c r="E519" s="183"/>
      <c r="F519" s="183"/>
      <c r="G519" s="183"/>
      <c r="H519" s="172">
        <v>25</v>
      </c>
      <c r="I519" s="172"/>
    </row>
    <row r="520" spans="1:28" ht="14.25" x14ac:dyDescent="0.2">
      <c r="C520" s="183" t="s">
        <v>129</v>
      </c>
      <c r="D520" s="183"/>
      <c r="E520" s="183"/>
      <c r="F520" s="183"/>
      <c r="G520" s="183"/>
      <c r="H520" s="172">
        <v>3609</v>
      </c>
      <c r="I520" s="172"/>
    </row>
    <row r="521" spans="1:28" ht="14.25" x14ac:dyDescent="0.2">
      <c r="C521" s="183" t="s">
        <v>130</v>
      </c>
      <c r="D521" s="183"/>
      <c r="E521" s="183"/>
      <c r="F521" s="183"/>
      <c r="G521" s="183"/>
      <c r="H521" s="172">
        <v>237</v>
      </c>
      <c r="I521" s="172"/>
    </row>
    <row r="522" spans="1:28" ht="14.25" x14ac:dyDescent="0.2">
      <c r="C522" s="183" t="s">
        <v>131</v>
      </c>
      <c r="D522" s="183"/>
      <c r="E522" s="183"/>
      <c r="F522" s="183"/>
      <c r="G522" s="183"/>
      <c r="H522" s="172">
        <v>145</v>
      </c>
      <c r="I522" s="172"/>
    </row>
    <row r="523" spans="1:28" ht="14.25" x14ac:dyDescent="0.2">
      <c r="C523" s="183" t="s">
        <v>134</v>
      </c>
      <c r="D523" s="183"/>
      <c r="E523" s="183"/>
      <c r="F523" s="183"/>
      <c r="G523" s="183"/>
      <c r="H523" s="172">
        <v>4221</v>
      </c>
      <c r="I523" s="172"/>
    </row>
    <row r="525" spans="1:28" ht="16.5" x14ac:dyDescent="0.25">
      <c r="A525" s="186" t="s">
        <v>600</v>
      </c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</row>
    <row r="526" spans="1:28" ht="105" x14ac:dyDescent="0.2">
      <c r="A526" s="149" t="s">
        <v>252</v>
      </c>
      <c r="B526" s="149" t="s">
        <v>1995</v>
      </c>
      <c r="C526" s="145" t="s">
        <v>1898</v>
      </c>
      <c r="D526" s="3">
        <v>1</v>
      </c>
      <c r="E526" s="141">
        <v>81.08</v>
      </c>
      <c r="F526" s="141">
        <v>8.1199999999999992</v>
      </c>
      <c r="G526" s="140">
        <v>81</v>
      </c>
      <c r="H526" s="140">
        <v>59</v>
      </c>
      <c r="I526" s="142">
        <v>8</v>
      </c>
      <c r="J526" s="141">
        <v>6.8999999999999995</v>
      </c>
      <c r="K526" s="141">
        <v>6.8999999999999995</v>
      </c>
      <c r="T526">
        <v>191</v>
      </c>
      <c r="U526">
        <v>14</v>
      </c>
      <c r="V526">
        <v>59</v>
      </c>
      <c r="W526">
        <v>8</v>
      </c>
      <c r="X526">
        <v>0</v>
      </c>
      <c r="Y526">
        <v>6.8999999999999995</v>
      </c>
      <c r="Z526">
        <v>2.5000000000000001E-2</v>
      </c>
      <c r="AA526">
        <v>68</v>
      </c>
      <c r="AB526">
        <v>42</v>
      </c>
    </row>
    <row r="527" spans="1:28" ht="14.25" x14ac:dyDescent="0.2">
      <c r="C527" s="35" t="s">
        <v>158</v>
      </c>
      <c r="D527" s="3"/>
      <c r="E527" s="139">
        <v>58.86</v>
      </c>
      <c r="F527" s="139">
        <v>0.33</v>
      </c>
      <c r="G527" s="140"/>
      <c r="H527" s="140"/>
      <c r="I527" s="140">
        <v>0</v>
      </c>
      <c r="J527" s="139">
        <v>2.5000000000000001E-2</v>
      </c>
      <c r="K527" s="139">
        <v>2.5000000000000001E-2</v>
      </c>
    </row>
    <row r="528" spans="1:28" x14ac:dyDescent="0.2">
      <c r="C528" s="20" t="s">
        <v>89</v>
      </c>
      <c r="D528" s="37">
        <v>128</v>
      </c>
      <c r="E528" s="144">
        <v>68.186880000000002</v>
      </c>
      <c r="F528" s="37" t="s">
        <v>330</v>
      </c>
      <c r="G528" s="143">
        <v>68</v>
      </c>
      <c r="H528" s="37" t="s">
        <v>331</v>
      </c>
      <c r="I528" s="37"/>
      <c r="J528" s="37"/>
      <c r="K528" s="37"/>
    </row>
    <row r="529" spans="1:28" x14ac:dyDescent="0.2">
      <c r="C529" s="20" t="s">
        <v>92</v>
      </c>
      <c r="D529" s="37">
        <v>83</v>
      </c>
      <c r="E529" s="144">
        <v>41.758544999999998</v>
      </c>
      <c r="F529" s="37" t="s">
        <v>332</v>
      </c>
      <c r="G529" s="143">
        <v>42</v>
      </c>
      <c r="H529" s="37" t="s">
        <v>333</v>
      </c>
      <c r="I529" s="37"/>
      <c r="J529" s="37"/>
      <c r="K529" s="37"/>
    </row>
    <row r="530" spans="1:28" x14ac:dyDescent="0.2">
      <c r="C530" s="20" t="s">
        <v>95</v>
      </c>
      <c r="D530" s="37"/>
      <c r="E530" s="144">
        <v>191.02542499999998</v>
      </c>
      <c r="F530" s="37"/>
      <c r="G530" s="143">
        <v>191</v>
      </c>
      <c r="H530" s="37"/>
      <c r="I530" s="37"/>
      <c r="J530" s="37"/>
      <c r="K530" s="37"/>
    </row>
    <row r="531" spans="1:28" ht="99.75" x14ac:dyDescent="0.2">
      <c r="A531" s="149" t="s">
        <v>253</v>
      </c>
      <c r="B531" s="149" t="s">
        <v>2008</v>
      </c>
      <c r="C531" s="145" t="s">
        <v>587</v>
      </c>
      <c r="D531" s="3">
        <v>1</v>
      </c>
      <c r="E531" s="141">
        <v>1310.3</v>
      </c>
      <c r="F531" s="141">
        <v>0</v>
      </c>
      <c r="G531" s="140">
        <v>1310</v>
      </c>
      <c r="H531" s="140">
        <v>0</v>
      </c>
      <c r="I531" s="142">
        <v>0</v>
      </c>
      <c r="J531" s="141">
        <v>0</v>
      </c>
      <c r="K531" s="141">
        <v>0</v>
      </c>
      <c r="T531">
        <v>1310</v>
      </c>
      <c r="U531">
        <v>1310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</row>
    <row r="532" spans="1:28" ht="14.25" x14ac:dyDescent="0.2">
      <c r="C532" s="35" t="s">
        <v>158</v>
      </c>
      <c r="D532" s="3"/>
      <c r="E532" s="139">
        <v>0</v>
      </c>
      <c r="F532" s="139">
        <v>0</v>
      </c>
      <c r="G532" s="140"/>
      <c r="H532" s="140"/>
      <c r="I532" s="140">
        <v>0</v>
      </c>
      <c r="J532" s="139">
        <v>0</v>
      </c>
      <c r="K532" s="139">
        <v>0</v>
      </c>
    </row>
    <row r="533" spans="1:28" ht="119.25" x14ac:dyDescent="0.2">
      <c r="A533" s="149" t="s">
        <v>254</v>
      </c>
      <c r="B533" s="149" t="s">
        <v>2009</v>
      </c>
      <c r="C533" s="145" t="s">
        <v>1901</v>
      </c>
      <c r="D533" s="3">
        <v>1</v>
      </c>
      <c r="E533" s="141">
        <v>7.79</v>
      </c>
      <c r="F533" s="141">
        <v>1.77</v>
      </c>
      <c r="G533" s="140">
        <v>8</v>
      </c>
      <c r="H533" s="140">
        <v>4</v>
      </c>
      <c r="I533" s="142">
        <v>2</v>
      </c>
      <c r="J533" s="141">
        <v>0.43469999999999998</v>
      </c>
      <c r="K533" s="141">
        <v>0.43469999999999998</v>
      </c>
      <c r="T533">
        <v>16</v>
      </c>
      <c r="U533">
        <v>2</v>
      </c>
      <c r="V533">
        <v>4</v>
      </c>
      <c r="W533">
        <v>2</v>
      </c>
      <c r="X533">
        <v>0</v>
      </c>
      <c r="Y533">
        <v>0.43469999999999998</v>
      </c>
      <c r="Z533">
        <v>1.3125000000000001E-2</v>
      </c>
      <c r="AA533">
        <v>5</v>
      </c>
      <c r="AB533">
        <v>3</v>
      </c>
    </row>
    <row r="534" spans="1:28" ht="14.25" x14ac:dyDescent="0.2">
      <c r="C534" s="35" t="s">
        <v>158</v>
      </c>
      <c r="D534" s="3"/>
      <c r="E534" s="139">
        <v>3.98</v>
      </c>
      <c r="F534" s="139">
        <v>0.16</v>
      </c>
      <c r="G534" s="140"/>
      <c r="H534" s="140"/>
      <c r="I534" s="140">
        <v>0</v>
      </c>
      <c r="J534" s="139">
        <v>1.3125000000000001E-2</v>
      </c>
      <c r="K534" s="139">
        <v>1.3125000000000001E-2</v>
      </c>
    </row>
    <row r="535" spans="1:28" x14ac:dyDescent="0.2">
      <c r="C535" s="20" t="s">
        <v>89</v>
      </c>
      <c r="D535" s="37">
        <v>128</v>
      </c>
      <c r="E535" s="144">
        <v>4.7692800000000002</v>
      </c>
      <c r="F535" s="37" t="s">
        <v>330</v>
      </c>
      <c r="G535" s="143">
        <v>5</v>
      </c>
      <c r="H535" s="37" t="s">
        <v>331</v>
      </c>
      <c r="I535" s="37"/>
      <c r="J535" s="37"/>
      <c r="K535" s="37"/>
    </row>
    <row r="536" spans="1:28" x14ac:dyDescent="0.2">
      <c r="C536" s="20" t="s">
        <v>92</v>
      </c>
      <c r="D536" s="37">
        <v>83</v>
      </c>
      <c r="E536" s="144">
        <v>2.9207699999999992</v>
      </c>
      <c r="F536" s="37" t="s">
        <v>332</v>
      </c>
      <c r="G536" s="143">
        <v>3</v>
      </c>
      <c r="H536" s="37" t="s">
        <v>333</v>
      </c>
      <c r="I536" s="37"/>
      <c r="J536" s="37"/>
      <c r="K536" s="37"/>
    </row>
    <row r="537" spans="1:28" x14ac:dyDescent="0.2">
      <c r="C537" s="20" t="s">
        <v>95</v>
      </c>
      <c r="D537" s="37"/>
      <c r="E537" s="144">
        <v>15.480049999999999</v>
      </c>
      <c r="F537" s="37"/>
      <c r="G537" s="143">
        <v>16</v>
      </c>
      <c r="H537" s="37"/>
      <c r="I537" s="37"/>
      <c r="J537" s="37"/>
      <c r="K537" s="37"/>
    </row>
    <row r="538" spans="1:28" ht="28.5" x14ac:dyDescent="0.2">
      <c r="A538" s="149" t="s">
        <v>331</v>
      </c>
      <c r="B538" s="149" t="s">
        <v>1146</v>
      </c>
      <c r="C538" s="145" t="s">
        <v>573</v>
      </c>
      <c r="D538" s="3">
        <v>1</v>
      </c>
      <c r="E538" s="141">
        <v>0</v>
      </c>
      <c r="F538" s="141">
        <v>0</v>
      </c>
      <c r="G538" s="140">
        <v>0</v>
      </c>
      <c r="H538" s="140">
        <v>0</v>
      </c>
      <c r="I538" s="142">
        <v>0</v>
      </c>
      <c r="J538" s="141">
        <v>0</v>
      </c>
      <c r="K538" s="141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</row>
    <row r="539" spans="1:28" ht="14.25" x14ac:dyDescent="0.2">
      <c r="C539" s="35" t="s">
        <v>158</v>
      </c>
      <c r="D539" s="3"/>
      <c r="E539" s="139">
        <v>0</v>
      </c>
      <c r="F539" s="139">
        <v>0</v>
      </c>
      <c r="G539" s="140"/>
      <c r="H539" s="140"/>
      <c r="I539" s="140">
        <v>0</v>
      </c>
      <c r="J539" s="139">
        <v>0</v>
      </c>
      <c r="K539" s="139">
        <v>0</v>
      </c>
    </row>
    <row r="540" spans="1:28" ht="99.75" x14ac:dyDescent="0.2">
      <c r="A540" s="149" t="s">
        <v>255</v>
      </c>
      <c r="B540" s="149" t="s">
        <v>2010</v>
      </c>
      <c r="C540" s="145" t="s">
        <v>588</v>
      </c>
      <c r="D540" s="3">
        <v>1</v>
      </c>
      <c r="E540" s="141">
        <v>138.79</v>
      </c>
      <c r="F540" s="141">
        <v>0</v>
      </c>
      <c r="G540" s="140">
        <v>139</v>
      </c>
      <c r="H540" s="140">
        <v>0</v>
      </c>
      <c r="I540" s="142">
        <v>0</v>
      </c>
      <c r="J540" s="141">
        <v>0</v>
      </c>
      <c r="K540" s="141">
        <v>0</v>
      </c>
      <c r="T540">
        <v>139</v>
      </c>
      <c r="U540">
        <v>139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</row>
    <row r="541" spans="1:28" ht="14.25" x14ac:dyDescent="0.2">
      <c r="C541" s="35" t="s">
        <v>158</v>
      </c>
      <c r="D541" s="3"/>
      <c r="E541" s="139">
        <v>0</v>
      </c>
      <c r="F541" s="139">
        <v>0</v>
      </c>
      <c r="G541" s="140"/>
      <c r="H541" s="140"/>
      <c r="I541" s="140">
        <v>0</v>
      </c>
      <c r="J541" s="139">
        <v>0</v>
      </c>
      <c r="K541" s="139">
        <v>0</v>
      </c>
    </row>
    <row r="542" spans="1:28" ht="105" x14ac:dyDescent="0.2">
      <c r="A542" s="149" t="s">
        <v>122</v>
      </c>
      <c r="B542" s="149" t="s">
        <v>2011</v>
      </c>
      <c r="C542" s="145" t="s">
        <v>1900</v>
      </c>
      <c r="D542" s="3">
        <v>1</v>
      </c>
      <c r="E542" s="141">
        <v>20.440000000000001</v>
      </c>
      <c r="F542" s="141">
        <v>1.93</v>
      </c>
      <c r="G542" s="140">
        <v>20</v>
      </c>
      <c r="H542" s="140">
        <v>11</v>
      </c>
      <c r="I542" s="142">
        <v>2</v>
      </c>
      <c r="J542" s="141">
        <v>1.243725</v>
      </c>
      <c r="K542" s="141">
        <v>1.243725</v>
      </c>
      <c r="T542">
        <v>41</v>
      </c>
      <c r="U542">
        <v>7</v>
      </c>
      <c r="V542">
        <v>11</v>
      </c>
      <c r="W542">
        <v>2</v>
      </c>
      <c r="X542">
        <v>0</v>
      </c>
      <c r="Y542">
        <v>1.243725</v>
      </c>
      <c r="Z542">
        <v>1.3125000000000001E-2</v>
      </c>
      <c r="AA542">
        <v>13</v>
      </c>
      <c r="AB542">
        <v>8</v>
      </c>
    </row>
    <row r="543" spans="1:28" ht="14.25" x14ac:dyDescent="0.2">
      <c r="C543" s="35" t="s">
        <v>158</v>
      </c>
      <c r="D543" s="3"/>
      <c r="E543" s="139">
        <v>11.02</v>
      </c>
      <c r="F543" s="139">
        <v>0.16</v>
      </c>
      <c r="G543" s="140"/>
      <c r="H543" s="140"/>
      <c r="I543" s="140">
        <v>0</v>
      </c>
      <c r="J543" s="139">
        <v>1.3125000000000001E-2</v>
      </c>
      <c r="K543" s="139">
        <v>1.3125000000000001E-2</v>
      </c>
    </row>
    <row r="544" spans="1:28" x14ac:dyDescent="0.2">
      <c r="C544" s="20" t="s">
        <v>89</v>
      </c>
      <c r="D544" s="37">
        <v>128</v>
      </c>
      <c r="E544" s="144">
        <v>12.879359999999998</v>
      </c>
      <c r="F544" s="37" t="s">
        <v>330</v>
      </c>
      <c r="G544" s="143">
        <v>13</v>
      </c>
      <c r="H544" s="37" t="s">
        <v>331</v>
      </c>
      <c r="I544" s="37"/>
      <c r="J544" s="37"/>
      <c r="K544" s="37"/>
    </row>
    <row r="545" spans="1:28" x14ac:dyDescent="0.2">
      <c r="C545" s="20" t="s">
        <v>92</v>
      </c>
      <c r="D545" s="37">
        <v>83</v>
      </c>
      <c r="E545" s="144">
        <v>7.8874899999999988</v>
      </c>
      <c r="F545" s="37" t="s">
        <v>332</v>
      </c>
      <c r="G545" s="143">
        <v>8</v>
      </c>
      <c r="H545" s="37" t="s">
        <v>333</v>
      </c>
      <c r="I545" s="37"/>
      <c r="J545" s="37"/>
      <c r="K545" s="37"/>
    </row>
    <row r="546" spans="1:28" x14ac:dyDescent="0.2">
      <c r="C546" s="20" t="s">
        <v>95</v>
      </c>
      <c r="D546" s="37"/>
      <c r="E546" s="144">
        <v>41.206850000000003</v>
      </c>
      <c r="F546" s="37"/>
      <c r="G546" s="143">
        <v>41</v>
      </c>
      <c r="H546" s="37"/>
      <c r="I546" s="37"/>
      <c r="J546" s="37"/>
      <c r="K546" s="37"/>
    </row>
    <row r="547" spans="1:28" ht="14.25" x14ac:dyDescent="0.2">
      <c r="A547" s="149" t="s">
        <v>2012</v>
      </c>
      <c r="B547" s="149" t="s">
        <v>1146</v>
      </c>
      <c r="C547" s="145" t="s">
        <v>589</v>
      </c>
      <c r="D547" s="3">
        <v>1</v>
      </c>
      <c r="E547" s="141">
        <v>0</v>
      </c>
      <c r="F547" s="141">
        <v>0</v>
      </c>
      <c r="G547" s="140">
        <v>0</v>
      </c>
      <c r="H547" s="140">
        <v>0</v>
      </c>
      <c r="I547" s="142">
        <v>0</v>
      </c>
      <c r="J547" s="141">
        <v>0</v>
      </c>
      <c r="K547" s="141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</row>
    <row r="548" spans="1:28" ht="14.25" x14ac:dyDescent="0.2">
      <c r="C548" s="35" t="s">
        <v>158</v>
      </c>
      <c r="D548" s="3"/>
      <c r="E548" s="139">
        <v>0</v>
      </c>
      <c r="F548" s="139">
        <v>0</v>
      </c>
      <c r="G548" s="140"/>
      <c r="H548" s="140"/>
      <c r="I548" s="140">
        <v>0</v>
      </c>
      <c r="J548" s="139">
        <v>0</v>
      </c>
      <c r="K548" s="139">
        <v>0</v>
      </c>
    </row>
    <row r="549" spans="1:28" ht="99.75" x14ac:dyDescent="0.2">
      <c r="A549" s="149" t="s">
        <v>256</v>
      </c>
      <c r="B549" s="149" t="s">
        <v>2013</v>
      </c>
      <c r="C549" s="145" t="s">
        <v>590</v>
      </c>
      <c r="D549" s="3">
        <v>1</v>
      </c>
      <c r="E549" s="141">
        <v>76.14</v>
      </c>
      <c r="F549" s="141">
        <v>0</v>
      </c>
      <c r="G549" s="140">
        <v>76</v>
      </c>
      <c r="H549" s="140">
        <v>0</v>
      </c>
      <c r="I549" s="142">
        <v>0</v>
      </c>
      <c r="J549" s="141">
        <v>0</v>
      </c>
      <c r="K549" s="141">
        <v>0</v>
      </c>
      <c r="T549">
        <v>76</v>
      </c>
      <c r="U549">
        <v>76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</row>
    <row r="550" spans="1:28" ht="14.25" x14ac:dyDescent="0.2">
      <c r="C550" s="35" t="s">
        <v>158</v>
      </c>
      <c r="D550" s="3"/>
      <c r="E550" s="139">
        <v>0</v>
      </c>
      <c r="F550" s="139">
        <v>0</v>
      </c>
      <c r="G550" s="140"/>
      <c r="H550" s="140"/>
      <c r="I550" s="140">
        <v>0</v>
      </c>
      <c r="J550" s="139">
        <v>0</v>
      </c>
      <c r="K550" s="139">
        <v>0</v>
      </c>
    </row>
    <row r="551" spans="1:28" ht="119.25" x14ac:dyDescent="0.2">
      <c r="A551" s="149" t="s">
        <v>257</v>
      </c>
      <c r="B551" s="149" t="s">
        <v>2000</v>
      </c>
      <c r="C551" s="145" t="s">
        <v>1896</v>
      </c>
      <c r="D551" s="3">
        <v>1</v>
      </c>
      <c r="E551" s="141">
        <v>77.86</v>
      </c>
      <c r="F551" s="141">
        <v>1.93</v>
      </c>
      <c r="G551" s="140">
        <v>78</v>
      </c>
      <c r="H551" s="140">
        <v>12</v>
      </c>
      <c r="I551" s="142">
        <v>2</v>
      </c>
      <c r="J551" s="141">
        <v>1.292025</v>
      </c>
      <c r="K551" s="141">
        <v>1.292025</v>
      </c>
      <c r="T551">
        <v>100</v>
      </c>
      <c r="U551">
        <v>64</v>
      </c>
      <c r="V551">
        <v>12</v>
      </c>
      <c r="W551">
        <v>2</v>
      </c>
      <c r="X551">
        <v>0</v>
      </c>
      <c r="Y551">
        <v>1.292025</v>
      </c>
      <c r="Z551">
        <v>1.3125000000000001E-2</v>
      </c>
      <c r="AA551">
        <v>14</v>
      </c>
      <c r="AB551">
        <v>8</v>
      </c>
    </row>
    <row r="552" spans="1:28" ht="14.25" x14ac:dyDescent="0.2">
      <c r="C552" s="35" t="s">
        <v>158</v>
      </c>
      <c r="D552" s="3"/>
      <c r="E552" s="139">
        <v>11.59</v>
      </c>
      <c r="F552" s="139">
        <v>0.16</v>
      </c>
      <c r="G552" s="140"/>
      <c r="H552" s="140"/>
      <c r="I552" s="140">
        <v>0</v>
      </c>
      <c r="J552" s="139">
        <v>1.3125000000000001E-2</v>
      </c>
      <c r="K552" s="139">
        <v>1.3125000000000001E-2</v>
      </c>
    </row>
    <row r="553" spans="1:28" x14ac:dyDescent="0.2">
      <c r="C553" s="20" t="s">
        <v>89</v>
      </c>
      <c r="D553" s="37">
        <v>128</v>
      </c>
      <c r="E553" s="144">
        <v>13.536000000000001</v>
      </c>
      <c r="F553" s="37" t="s">
        <v>330</v>
      </c>
      <c r="G553" s="143">
        <v>14</v>
      </c>
      <c r="H553" s="37" t="s">
        <v>331</v>
      </c>
      <c r="I553" s="37"/>
      <c r="J553" s="37"/>
      <c r="K553" s="37"/>
    </row>
    <row r="554" spans="1:28" x14ac:dyDescent="0.2">
      <c r="C554" s="20" t="s">
        <v>92</v>
      </c>
      <c r="D554" s="37">
        <v>83</v>
      </c>
      <c r="E554" s="144">
        <v>8.2896249999999991</v>
      </c>
      <c r="F554" s="37" t="s">
        <v>332</v>
      </c>
      <c r="G554" s="143">
        <v>8</v>
      </c>
      <c r="H554" s="37" t="s">
        <v>333</v>
      </c>
      <c r="I554" s="37"/>
      <c r="J554" s="37"/>
      <c r="K554" s="37"/>
    </row>
    <row r="555" spans="1:28" x14ac:dyDescent="0.2">
      <c r="C555" s="20" t="s">
        <v>95</v>
      </c>
      <c r="D555" s="37"/>
      <c r="E555" s="144">
        <v>99.685625000000002</v>
      </c>
      <c r="F555" s="37"/>
      <c r="G555" s="143">
        <v>100</v>
      </c>
      <c r="H555" s="37"/>
      <c r="I555" s="37"/>
      <c r="J555" s="37"/>
      <c r="K555" s="37"/>
    </row>
    <row r="556" spans="1:28" ht="119.25" x14ac:dyDescent="0.2">
      <c r="A556" s="149" t="s">
        <v>258</v>
      </c>
      <c r="B556" s="149" t="s">
        <v>2014</v>
      </c>
      <c r="C556" s="145" t="s">
        <v>1899</v>
      </c>
      <c r="D556" s="3">
        <v>1</v>
      </c>
      <c r="E556" s="141">
        <v>221.25</v>
      </c>
      <c r="F556" s="141">
        <v>5</v>
      </c>
      <c r="G556" s="140">
        <v>221</v>
      </c>
      <c r="H556" s="140">
        <v>44</v>
      </c>
      <c r="I556" s="142">
        <v>5</v>
      </c>
      <c r="J556" s="141">
        <v>4.8541499999999997</v>
      </c>
      <c r="K556" s="141">
        <v>4.8541499999999997</v>
      </c>
      <c r="T556">
        <v>303</v>
      </c>
      <c r="U556">
        <v>172</v>
      </c>
      <c r="V556">
        <v>44</v>
      </c>
      <c r="W556">
        <v>5</v>
      </c>
      <c r="X556">
        <v>0</v>
      </c>
      <c r="Y556">
        <v>4.8541499999999997</v>
      </c>
      <c r="Z556">
        <v>1.3125000000000001E-2</v>
      </c>
      <c r="AA556">
        <v>51</v>
      </c>
      <c r="AB556">
        <v>31</v>
      </c>
    </row>
    <row r="557" spans="1:28" ht="14.25" x14ac:dyDescent="0.2">
      <c r="C557" s="35" t="s">
        <v>158</v>
      </c>
      <c r="D557" s="3"/>
      <c r="E557" s="139">
        <v>44.03</v>
      </c>
      <c r="F557" s="139">
        <v>0.16</v>
      </c>
      <c r="G557" s="140"/>
      <c r="H557" s="140"/>
      <c r="I557" s="140">
        <v>0</v>
      </c>
      <c r="J557" s="139">
        <v>1.3125000000000001E-2</v>
      </c>
      <c r="K557" s="139">
        <v>1.3125000000000001E-2</v>
      </c>
    </row>
    <row r="558" spans="1:28" x14ac:dyDescent="0.2">
      <c r="C558" s="20" t="s">
        <v>89</v>
      </c>
      <c r="D558" s="37">
        <v>128</v>
      </c>
      <c r="E558" s="144">
        <v>50.906880000000001</v>
      </c>
      <c r="F558" s="37" t="s">
        <v>330</v>
      </c>
      <c r="G558" s="143">
        <v>51</v>
      </c>
      <c r="H558" s="37" t="s">
        <v>331</v>
      </c>
      <c r="I558" s="37"/>
      <c r="J558" s="37"/>
      <c r="K558" s="37"/>
    </row>
    <row r="559" spans="1:28" x14ac:dyDescent="0.2">
      <c r="C559" s="20" t="s">
        <v>92</v>
      </c>
      <c r="D559" s="37">
        <v>83</v>
      </c>
      <c r="E559" s="144">
        <v>31.176044999999998</v>
      </c>
      <c r="F559" s="37" t="s">
        <v>332</v>
      </c>
      <c r="G559" s="143">
        <v>31</v>
      </c>
      <c r="H559" s="37" t="s">
        <v>333</v>
      </c>
      <c r="I559" s="37"/>
      <c r="J559" s="37"/>
      <c r="K559" s="37"/>
    </row>
    <row r="560" spans="1:28" x14ac:dyDescent="0.2">
      <c r="C560" s="20" t="s">
        <v>95</v>
      </c>
      <c r="D560" s="37"/>
      <c r="E560" s="144">
        <v>303.33292499999999</v>
      </c>
      <c r="F560" s="37"/>
      <c r="G560" s="143">
        <v>303</v>
      </c>
      <c r="H560" s="37"/>
      <c r="I560" s="37"/>
      <c r="J560" s="37"/>
      <c r="K560" s="37"/>
    </row>
    <row r="561" spans="1:28" ht="14.25" x14ac:dyDescent="0.2">
      <c r="A561" s="149" t="s">
        <v>1279</v>
      </c>
      <c r="B561" s="149" t="s">
        <v>1146</v>
      </c>
      <c r="C561" s="145" t="s">
        <v>591</v>
      </c>
      <c r="D561" s="3">
        <v>1</v>
      </c>
      <c r="E561" s="141">
        <v>0</v>
      </c>
      <c r="F561" s="141">
        <v>0</v>
      </c>
      <c r="G561" s="140">
        <v>0</v>
      </c>
      <c r="H561" s="140">
        <v>0</v>
      </c>
      <c r="I561" s="142">
        <v>0</v>
      </c>
      <c r="J561" s="141">
        <v>0</v>
      </c>
      <c r="K561" s="14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</row>
    <row r="562" spans="1:28" ht="14.25" x14ac:dyDescent="0.2">
      <c r="C562" s="35" t="s">
        <v>158</v>
      </c>
      <c r="D562" s="3"/>
      <c r="E562" s="139">
        <v>0</v>
      </c>
      <c r="F562" s="139">
        <v>0</v>
      </c>
      <c r="G562" s="140"/>
      <c r="H562" s="140"/>
      <c r="I562" s="140">
        <v>0</v>
      </c>
      <c r="J562" s="139">
        <v>0</v>
      </c>
      <c r="K562" s="139">
        <v>0</v>
      </c>
    </row>
    <row r="563" spans="1:28" ht="99.75" x14ac:dyDescent="0.2">
      <c r="A563" s="149" t="s">
        <v>259</v>
      </c>
      <c r="B563" s="149" t="s">
        <v>2015</v>
      </c>
      <c r="C563" s="145" t="s">
        <v>592</v>
      </c>
      <c r="D563" s="3">
        <v>1</v>
      </c>
      <c r="E563" s="141">
        <v>1248.18</v>
      </c>
      <c r="F563" s="141">
        <v>0</v>
      </c>
      <c r="G563" s="140">
        <v>1248</v>
      </c>
      <c r="H563" s="140">
        <v>0</v>
      </c>
      <c r="I563" s="142">
        <v>0</v>
      </c>
      <c r="J563" s="141">
        <v>0</v>
      </c>
      <c r="K563" s="141">
        <v>0</v>
      </c>
      <c r="T563">
        <v>1248</v>
      </c>
      <c r="U563">
        <v>1248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</row>
    <row r="564" spans="1:28" ht="14.25" x14ac:dyDescent="0.2">
      <c r="C564" s="35" t="s">
        <v>158</v>
      </c>
      <c r="D564" s="3"/>
      <c r="E564" s="139">
        <v>0</v>
      </c>
      <c r="F564" s="139">
        <v>0</v>
      </c>
      <c r="G564" s="140"/>
      <c r="H564" s="140"/>
      <c r="I564" s="140">
        <v>0</v>
      </c>
      <c r="J564" s="139">
        <v>0</v>
      </c>
      <c r="K564" s="139">
        <v>0</v>
      </c>
    </row>
    <row r="565" spans="1:28" ht="133.5" x14ac:dyDescent="0.2">
      <c r="A565" s="149" t="s">
        <v>261</v>
      </c>
      <c r="B565" s="149" t="s">
        <v>1987</v>
      </c>
      <c r="C565" s="145" t="s">
        <v>1894</v>
      </c>
      <c r="D565" s="3">
        <v>2.8000000000000001E-2</v>
      </c>
      <c r="E565" s="141">
        <v>2045.99</v>
      </c>
      <c r="F565" s="141">
        <v>123.7</v>
      </c>
      <c r="G565" s="140">
        <v>57</v>
      </c>
      <c r="H565" s="140">
        <v>42</v>
      </c>
      <c r="I565" s="142">
        <v>3</v>
      </c>
      <c r="J565" s="141">
        <v>170.25749999999999</v>
      </c>
      <c r="K565" s="141">
        <v>4.7672099999999995</v>
      </c>
      <c r="T565">
        <v>135</v>
      </c>
      <c r="U565">
        <v>12</v>
      </c>
      <c r="V565">
        <v>42</v>
      </c>
      <c r="W565">
        <v>3</v>
      </c>
      <c r="X565">
        <v>0</v>
      </c>
      <c r="Y565">
        <v>4.7672099999999995</v>
      </c>
      <c r="Z565">
        <v>3.4544999999999999E-2</v>
      </c>
      <c r="AA565">
        <v>48</v>
      </c>
      <c r="AB565">
        <v>30</v>
      </c>
    </row>
    <row r="566" spans="1:28" ht="14.25" x14ac:dyDescent="0.2">
      <c r="C566" s="35" t="s">
        <v>97</v>
      </c>
      <c r="D566" s="3"/>
      <c r="E566" s="139">
        <v>1488.05</v>
      </c>
      <c r="F566" s="139">
        <v>15.26</v>
      </c>
      <c r="G566" s="140"/>
      <c r="H566" s="140"/>
      <c r="I566" s="140">
        <v>0</v>
      </c>
      <c r="J566" s="139">
        <v>1.2337499999999999</v>
      </c>
      <c r="K566" s="139">
        <v>3.4544999999999999E-2</v>
      </c>
    </row>
    <row r="567" spans="1:28" x14ac:dyDescent="0.2">
      <c r="C567" s="36" t="s">
        <v>2016</v>
      </c>
    </row>
    <row r="568" spans="1:28" x14ac:dyDescent="0.2">
      <c r="C568" s="20" t="s">
        <v>89</v>
      </c>
      <c r="D568" s="37">
        <v>128</v>
      </c>
      <c r="E568" s="144">
        <v>1731.81312</v>
      </c>
      <c r="F568" s="37" t="s">
        <v>330</v>
      </c>
      <c r="G568" s="143">
        <v>48</v>
      </c>
      <c r="H568" s="37" t="s">
        <v>331</v>
      </c>
      <c r="I568" s="37"/>
      <c r="J568" s="37"/>
      <c r="K568" s="37"/>
    </row>
    <row r="569" spans="1:28" x14ac:dyDescent="0.2">
      <c r="C569" s="20" t="s">
        <v>92</v>
      </c>
      <c r="D569" s="37">
        <v>83</v>
      </c>
      <c r="E569" s="144">
        <v>1060.5852050000001</v>
      </c>
      <c r="F569" s="37" t="s">
        <v>332</v>
      </c>
      <c r="G569" s="143">
        <v>30</v>
      </c>
      <c r="H569" s="37" t="s">
        <v>333</v>
      </c>
      <c r="I569" s="37"/>
      <c r="J569" s="37"/>
      <c r="K569" s="37"/>
    </row>
    <row r="570" spans="1:28" x14ac:dyDescent="0.2">
      <c r="C570" s="20" t="s">
        <v>95</v>
      </c>
      <c r="D570" s="37"/>
      <c r="E570" s="144">
        <v>4838.3883249999999</v>
      </c>
      <c r="F570" s="37"/>
      <c r="G570" s="143">
        <v>135</v>
      </c>
      <c r="H570" s="37"/>
      <c r="I570" s="37"/>
      <c r="J570" s="37"/>
      <c r="K570" s="37"/>
    </row>
    <row r="571" spans="1:28" ht="14.25" x14ac:dyDescent="0.2">
      <c r="A571" s="149" t="s">
        <v>2017</v>
      </c>
      <c r="B571" s="149" t="s">
        <v>1146</v>
      </c>
      <c r="C571" s="145" t="s">
        <v>535</v>
      </c>
      <c r="D571" s="3">
        <v>2.8</v>
      </c>
      <c r="E571" s="141">
        <v>0</v>
      </c>
      <c r="F571" s="141">
        <v>0</v>
      </c>
      <c r="G571" s="140">
        <v>0</v>
      </c>
      <c r="H571" s="140">
        <v>0</v>
      </c>
      <c r="I571" s="142">
        <v>0</v>
      </c>
      <c r="J571" s="141">
        <v>0</v>
      </c>
      <c r="K571" s="14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</row>
    <row r="572" spans="1:28" ht="14.25" x14ac:dyDescent="0.2">
      <c r="C572" s="35" t="s">
        <v>117</v>
      </c>
      <c r="D572" s="3"/>
      <c r="E572" s="139">
        <v>0</v>
      </c>
      <c r="F572" s="139">
        <v>0</v>
      </c>
      <c r="G572" s="140"/>
      <c r="H572" s="140"/>
      <c r="I572" s="140">
        <v>0</v>
      </c>
      <c r="J572" s="139">
        <v>0</v>
      </c>
      <c r="K572" s="139">
        <v>0</v>
      </c>
    </row>
    <row r="573" spans="1:28" ht="99.75" x14ac:dyDescent="0.2">
      <c r="A573" s="149" t="s">
        <v>262</v>
      </c>
      <c r="B573" s="149" t="s">
        <v>2018</v>
      </c>
      <c r="C573" s="145" t="s">
        <v>540</v>
      </c>
      <c r="D573" s="3">
        <v>1.2</v>
      </c>
      <c r="E573" s="141">
        <v>123.43</v>
      </c>
      <c r="F573" s="141">
        <v>0</v>
      </c>
      <c r="G573" s="140">
        <v>148</v>
      </c>
      <c r="H573" s="140">
        <v>0</v>
      </c>
      <c r="I573" s="142">
        <v>0</v>
      </c>
      <c r="J573" s="141">
        <v>0</v>
      </c>
      <c r="K573" s="141">
        <v>0</v>
      </c>
      <c r="T573">
        <v>148</v>
      </c>
      <c r="U573">
        <v>148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</row>
    <row r="574" spans="1:28" ht="14.25" x14ac:dyDescent="0.2">
      <c r="C574" s="35" t="s">
        <v>117</v>
      </c>
      <c r="D574" s="3"/>
      <c r="E574" s="139">
        <v>0</v>
      </c>
      <c r="F574" s="139">
        <v>0</v>
      </c>
      <c r="G574" s="140"/>
      <c r="H574" s="140"/>
      <c r="I574" s="140">
        <v>0</v>
      </c>
      <c r="J574" s="139">
        <v>0</v>
      </c>
      <c r="K574" s="139">
        <v>0</v>
      </c>
    </row>
    <row r="575" spans="1:28" ht="99.75" x14ac:dyDescent="0.2">
      <c r="A575" s="149" t="s">
        <v>263</v>
      </c>
      <c r="B575" s="149" t="s">
        <v>2019</v>
      </c>
      <c r="C575" s="145" t="s">
        <v>542</v>
      </c>
      <c r="D575" s="3">
        <v>0.7</v>
      </c>
      <c r="E575" s="141">
        <v>133.61000000000001</v>
      </c>
      <c r="F575" s="141">
        <v>0</v>
      </c>
      <c r="G575" s="140">
        <v>94</v>
      </c>
      <c r="H575" s="140">
        <v>0</v>
      </c>
      <c r="I575" s="142">
        <v>0</v>
      </c>
      <c r="J575" s="141">
        <v>0</v>
      </c>
      <c r="K575" s="141">
        <v>0</v>
      </c>
      <c r="T575">
        <v>94</v>
      </c>
      <c r="U575">
        <v>94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</row>
    <row r="576" spans="1:28" ht="14.25" x14ac:dyDescent="0.2">
      <c r="C576" s="35" t="s">
        <v>117</v>
      </c>
      <c r="D576" s="3"/>
      <c r="E576" s="139">
        <v>0</v>
      </c>
      <c r="F576" s="139">
        <v>0</v>
      </c>
      <c r="G576" s="140"/>
      <c r="H576" s="140"/>
      <c r="I576" s="140">
        <v>0</v>
      </c>
      <c r="J576" s="139">
        <v>0</v>
      </c>
      <c r="K576" s="139">
        <v>0</v>
      </c>
    </row>
    <row r="577" spans="1:28" ht="99.75" x14ac:dyDescent="0.2">
      <c r="A577" s="149" t="s">
        <v>264</v>
      </c>
      <c r="B577" s="149" t="s">
        <v>2004</v>
      </c>
      <c r="C577" s="145" t="s">
        <v>546</v>
      </c>
      <c r="D577" s="3">
        <v>0.25</v>
      </c>
      <c r="E577" s="141">
        <v>176.15</v>
      </c>
      <c r="F577" s="141">
        <v>0</v>
      </c>
      <c r="G577" s="140">
        <v>44</v>
      </c>
      <c r="H577" s="140">
        <v>0</v>
      </c>
      <c r="I577" s="142">
        <v>0</v>
      </c>
      <c r="J577" s="141">
        <v>0</v>
      </c>
      <c r="K577" s="141">
        <v>0</v>
      </c>
      <c r="T577">
        <v>44</v>
      </c>
      <c r="U577">
        <v>44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</row>
    <row r="578" spans="1:28" ht="14.25" x14ac:dyDescent="0.2">
      <c r="C578" s="35" t="s">
        <v>117</v>
      </c>
      <c r="D578" s="3"/>
      <c r="E578" s="139">
        <v>0</v>
      </c>
      <c r="F578" s="139">
        <v>0</v>
      </c>
      <c r="G578" s="140"/>
      <c r="H578" s="140"/>
      <c r="I578" s="140">
        <v>0</v>
      </c>
      <c r="J578" s="139">
        <v>0</v>
      </c>
      <c r="K578" s="139">
        <v>0</v>
      </c>
    </row>
    <row r="579" spans="1:28" x14ac:dyDescent="0.2">
      <c r="C579" s="36" t="s">
        <v>594</v>
      </c>
    </row>
    <row r="580" spans="1:28" ht="99.75" x14ac:dyDescent="0.2">
      <c r="A580" s="149" t="s">
        <v>265</v>
      </c>
      <c r="B580" s="149" t="s">
        <v>1982</v>
      </c>
      <c r="C580" s="145" t="s">
        <v>595</v>
      </c>
      <c r="D580" s="3">
        <v>0.6</v>
      </c>
      <c r="E580" s="141">
        <v>185.53</v>
      </c>
      <c r="F580" s="141">
        <v>0</v>
      </c>
      <c r="G580" s="140">
        <v>111</v>
      </c>
      <c r="H580" s="140">
        <v>0</v>
      </c>
      <c r="I580" s="142">
        <v>0</v>
      </c>
      <c r="J580" s="141">
        <v>0</v>
      </c>
      <c r="K580" s="141">
        <v>0</v>
      </c>
      <c r="T580">
        <v>111</v>
      </c>
      <c r="U580">
        <v>111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</row>
    <row r="581" spans="1:28" ht="14.25" x14ac:dyDescent="0.2">
      <c r="C581" s="35" t="s">
        <v>117</v>
      </c>
      <c r="D581" s="3"/>
      <c r="E581" s="139">
        <v>0</v>
      </c>
      <c r="F581" s="139">
        <v>0</v>
      </c>
      <c r="G581" s="140"/>
      <c r="H581" s="140"/>
      <c r="I581" s="140">
        <v>0</v>
      </c>
      <c r="J581" s="139">
        <v>0</v>
      </c>
      <c r="K581" s="139">
        <v>0</v>
      </c>
    </row>
    <row r="582" spans="1:28" x14ac:dyDescent="0.2">
      <c r="C582" s="36" t="s">
        <v>596</v>
      </c>
    </row>
    <row r="583" spans="1:28" ht="133.5" x14ac:dyDescent="0.2">
      <c r="A583" s="149" t="s">
        <v>266</v>
      </c>
      <c r="B583" s="149" t="s">
        <v>1978</v>
      </c>
      <c r="C583" s="145" t="s">
        <v>1890</v>
      </c>
      <c r="D583" s="3">
        <v>0.02</v>
      </c>
      <c r="E583" s="141">
        <v>2214.02</v>
      </c>
      <c r="F583" s="141">
        <v>154.12</v>
      </c>
      <c r="G583" s="140">
        <v>45</v>
      </c>
      <c r="H583" s="140">
        <v>33</v>
      </c>
      <c r="I583" s="142">
        <v>3</v>
      </c>
      <c r="J583" s="141">
        <v>185.95500000000001</v>
      </c>
      <c r="K583" s="141">
        <v>3.7191000000000005</v>
      </c>
      <c r="T583">
        <v>106</v>
      </c>
      <c r="U583">
        <v>9</v>
      </c>
      <c r="V583">
        <v>33</v>
      </c>
      <c r="W583">
        <v>3</v>
      </c>
      <c r="X583">
        <v>0</v>
      </c>
      <c r="Y583">
        <v>3.7191000000000005</v>
      </c>
      <c r="Z583">
        <v>3.1500000000000007E-2</v>
      </c>
      <c r="AA583">
        <v>38</v>
      </c>
      <c r="AB583">
        <v>23</v>
      </c>
    </row>
    <row r="584" spans="1:28" ht="14.25" x14ac:dyDescent="0.2">
      <c r="C584" s="35" t="s">
        <v>97</v>
      </c>
      <c r="D584" s="3"/>
      <c r="E584" s="139">
        <v>1625.25</v>
      </c>
      <c r="F584" s="139">
        <v>19.46</v>
      </c>
      <c r="G584" s="140"/>
      <c r="H584" s="140"/>
      <c r="I584" s="140">
        <v>0</v>
      </c>
      <c r="J584" s="139">
        <v>1.5750000000000002</v>
      </c>
      <c r="K584" s="139">
        <v>3.1500000000000007E-2</v>
      </c>
    </row>
    <row r="585" spans="1:28" x14ac:dyDescent="0.2">
      <c r="C585" s="36" t="s">
        <v>216</v>
      </c>
    </row>
    <row r="586" spans="1:28" x14ac:dyDescent="0.2">
      <c r="C586" s="20" t="s">
        <v>89</v>
      </c>
      <c r="D586" s="37">
        <v>128</v>
      </c>
      <c r="E586" s="144">
        <v>1894.7059200000001</v>
      </c>
      <c r="F586" s="37" t="s">
        <v>330</v>
      </c>
      <c r="G586" s="143">
        <v>38</v>
      </c>
      <c r="H586" s="37" t="s">
        <v>331</v>
      </c>
      <c r="I586" s="37"/>
      <c r="J586" s="37"/>
      <c r="K586" s="37"/>
    </row>
    <row r="587" spans="1:28" x14ac:dyDescent="0.2">
      <c r="C587" s="20" t="s">
        <v>92</v>
      </c>
      <c r="D587" s="37">
        <v>83</v>
      </c>
      <c r="E587" s="144">
        <v>1160.342905</v>
      </c>
      <c r="F587" s="37" t="s">
        <v>332</v>
      </c>
      <c r="G587" s="143">
        <v>23</v>
      </c>
      <c r="H587" s="37" t="s">
        <v>333</v>
      </c>
      <c r="I587" s="37"/>
      <c r="J587" s="37"/>
      <c r="K587" s="37"/>
    </row>
    <row r="588" spans="1:28" x14ac:dyDescent="0.2">
      <c r="C588" s="20" t="s">
        <v>95</v>
      </c>
      <c r="D588" s="37"/>
      <c r="E588" s="144">
        <v>5269.0688250000003</v>
      </c>
      <c r="F588" s="37"/>
      <c r="G588" s="143">
        <v>106</v>
      </c>
      <c r="H588" s="37"/>
      <c r="I588" s="37"/>
      <c r="J588" s="37"/>
      <c r="K588" s="37"/>
    </row>
    <row r="589" spans="1:28" ht="14.25" x14ac:dyDescent="0.2">
      <c r="A589" s="149" t="s">
        <v>1285</v>
      </c>
      <c r="B589" s="149" t="s">
        <v>1146</v>
      </c>
      <c r="C589" s="145" t="s">
        <v>535</v>
      </c>
      <c r="D589" s="3">
        <v>2</v>
      </c>
      <c r="E589" s="141">
        <v>0</v>
      </c>
      <c r="F589" s="141">
        <v>0</v>
      </c>
      <c r="G589" s="140">
        <v>0</v>
      </c>
      <c r="H589" s="140">
        <v>0</v>
      </c>
      <c r="I589" s="142">
        <v>0</v>
      </c>
      <c r="J589" s="141">
        <v>0</v>
      </c>
      <c r="K589" s="141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</row>
    <row r="590" spans="1:28" ht="14.25" x14ac:dyDescent="0.2">
      <c r="C590" s="35" t="s">
        <v>117</v>
      </c>
      <c r="D590" s="3"/>
      <c r="E590" s="139">
        <v>0</v>
      </c>
      <c r="F590" s="139">
        <v>0</v>
      </c>
      <c r="G590" s="140"/>
      <c r="H590" s="140"/>
      <c r="I590" s="140">
        <v>0</v>
      </c>
      <c r="J590" s="139">
        <v>0</v>
      </c>
      <c r="K590" s="139">
        <v>0</v>
      </c>
    </row>
    <row r="591" spans="1:28" ht="99.75" x14ac:dyDescent="0.2">
      <c r="A591" s="149" t="s">
        <v>267</v>
      </c>
      <c r="B591" s="149" t="s">
        <v>2020</v>
      </c>
      <c r="C591" s="145" t="s">
        <v>597</v>
      </c>
      <c r="D591" s="3">
        <v>2</v>
      </c>
      <c r="E591" s="141">
        <v>73.02</v>
      </c>
      <c r="F591" s="141">
        <v>0</v>
      </c>
      <c r="G591" s="140">
        <v>146</v>
      </c>
      <c r="H591" s="140">
        <v>0</v>
      </c>
      <c r="I591" s="142">
        <v>0</v>
      </c>
      <c r="J591" s="141">
        <v>0</v>
      </c>
      <c r="K591" s="141">
        <v>0</v>
      </c>
      <c r="T591">
        <v>146</v>
      </c>
      <c r="U591">
        <v>146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</row>
    <row r="592" spans="1:28" ht="14.25" x14ac:dyDescent="0.2">
      <c r="C592" s="35" t="s">
        <v>117</v>
      </c>
      <c r="D592" s="3"/>
      <c r="E592" s="139">
        <v>0</v>
      </c>
      <c r="F592" s="139">
        <v>0</v>
      </c>
      <c r="G592" s="140"/>
      <c r="H592" s="140"/>
      <c r="I592" s="140">
        <v>0</v>
      </c>
      <c r="J592" s="139">
        <v>0</v>
      </c>
      <c r="K592" s="139">
        <v>0</v>
      </c>
    </row>
    <row r="593" spans="1:28" ht="99.75" x14ac:dyDescent="0.2">
      <c r="A593" s="149" t="s">
        <v>268</v>
      </c>
      <c r="B593" s="149" t="s">
        <v>1986</v>
      </c>
      <c r="C593" s="145" t="s">
        <v>548</v>
      </c>
      <c r="D593" s="3">
        <v>1E-3</v>
      </c>
      <c r="E593" s="141">
        <v>12676.79</v>
      </c>
      <c r="F593" s="141">
        <v>0</v>
      </c>
      <c r="G593" s="140">
        <v>13</v>
      </c>
      <c r="H593" s="140">
        <v>0</v>
      </c>
      <c r="I593" s="142">
        <v>0</v>
      </c>
      <c r="J593" s="141">
        <v>0</v>
      </c>
      <c r="K593" s="141">
        <v>0</v>
      </c>
      <c r="T593">
        <v>13</v>
      </c>
      <c r="U593">
        <v>13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</row>
    <row r="594" spans="1:28" ht="14.25" x14ac:dyDescent="0.2">
      <c r="C594" s="35" t="s">
        <v>99</v>
      </c>
      <c r="D594" s="3"/>
      <c r="E594" s="139">
        <v>0</v>
      </c>
      <c r="F594" s="139">
        <v>0</v>
      </c>
      <c r="G594" s="140"/>
      <c r="H594" s="140"/>
      <c r="I594" s="140">
        <v>0</v>
      </c>
      <c r="J594" s="139">
        <v>0</v>
      </c>
      <c r="K594" s="139">
        <v>0</v>
      </c>
    </row>
    <row r="595" spans="1:28" x14ac:dyDescent="0.2">
      <c r="C595" s="36" t="s">
        <v>598</v>
      </c>
    </row>
    <row r="597" spans="1:28" ht="15" x14ac:dyDescent="0.25">
      <c r="A597" s="4"/>
      <c r="B597" s="4"/>
      <c r="C597" s="187" t="s">
        <v>601</v>
      </c>
      <c r="D597" s="187"/>
      <c r="E597" s="187"/>
      <c r="F597" s="187"/>
      <c r="G597" s="136">
        <f>IF(SUM(T525:T596)=0, "-", SUM(T525:T596))</f>
        <v>4221</v>
      </c>
      <c r="H597" s="136">
        <f>IF(SUM(V525:V596)=0, "-", SUM(V525:V596))</f>
        <v>205</v>
      </c>
      <c r="I597" s="138">
        <f>IF(SUM(W525:W596)=0, "-", SUM(W525:W596))</f>
        <v>25</v>
      </c>
      <c r="J597" s="136"/>
      <c r="K597" s="137">
        <f>IF(SUM(Y525:Y596)=0, "-", SUM(Y525:Y596))</f>
        <v>23.210909999999998</v>
      </c>
    </row>
    <row r="598" spans="1:28" ht="15" x14ac:dyDescent="0.25">
      <c r="A598" s="4"/>
      <c r="B598" s="4"/>
      <c r="C598" s="4"/>
      <c r="D598" s="4"/>
      <c r="E598" s="4"/>
      <c r="F598" s="4"/>
      <c r="G598" s="136"/>
      <c r="H598" s="136"/>
      <c r="I598" s="136" t="str">
        <f>IF(SUM(X525:X596)=0, "-", SUM(X525:X596))</f>
        <v>-</v>
      </c>
      <c r="J598" s="136"/>
      <c r="K598" s="135">
        <f>IF(SUM(Z525:Z596)=0, "-", SUM(Z525:Z596))</f>
        <v>0.14354500000000001</v>
      </c>
    </row>
    <row r="601" spans="1:28" ht="14.25" x14ac:dyDescent="0.2">
      <c r="C601" s="183" t="s">
        <v>127</v>
      </c>
      <c r="D601" s="183"/>
      <c r="E601" s="183"/>
      <c r="F601" s="183"/>
      <c r="G601" s="183"/>
      <c r="H601" s="172">
        <v>205</v>
      </c>
      <c r="I601" s="172"/>
    </row>
    <row r="602" spans="1:28" ht="14.25" x14ac:dyDescent="0.2">
      <c r="C602" s="183" t="s">
        <v>128</v>
      </c>
      <c r="D602" s="183"/>
      <c r="E602" s="183"/>
      <c r="F602" s="183"/>
      <c r="G602" s="183"/>
      <c r="H602" s="172">
        <v>25</v>
      </c>
      <c r="I602" s="172"/>
    </row>
    <row r="603" spans="1:28" ht="14.25" x14ac:dyDescent="0.2">
      <c r="C603" s="183" t="s">
        <v>129</v>
      </c>
      <c r="D603" s="183"/>
      <c r="E603" s="183"/>
      <c r="F603" s="183"/>
      <c r="G603" s="183"/>
      <c r="H603" s="172">
        <v>3609</v>
      </c>
      <c r="I603" s="172"/>
    </row>
    <row r="604" spans="1:28" ht="14.25" x14ac:dyDescent="0.2">
      <c r="C604" s="183" t="s">
        <v>130</v>
      </c>
      <c r="D604" s="183"/>
      <c r="E604" s="183"/>
      <c r="F604" s="183"/>
      <c r="G604" s="183"/>
      <c r="H604" s="172">
        <v>237</v>
      </c>
      <c r="I604" s="172"/>
    </row>
    <row r="605" spans="1:28" ht="14.25" x14ac:dyDescent="0.2">
      <c r="C605" s="183" t="s">
        <v>131</v>
      </c>
      <c r="D605" s="183"/>
      <c r="E605" s="183"/>
      <c r="F605" s="183"/>
      <c r="G605" s="183"/>
      <c r="H605" s="172">
        <v>145</v>
      </c>
      <c r="I605" s="172"/>
    </row>
    <row r="606" spans="1:28" ht="14.25" x14ac:dyDescent="0.2">
      <c r="C606" s="183" t="s">
        <v>134</v>
      </c>
      <c r="D606" s="183"/>
      <c r="E606" s="183"/>
      <c r="F606" s="183"/>
      <c r="G606" s="183"/>
      <c r="H606" s="172">
        <v>4221</v>
      </c>
      <c r="I606" s="172"/>
    </row>
    <row r="608" spans="1:28" ht="16.5" x14ac:dyDescent="0.25">
      <c r="A608" s="186" t="s">
        <v>602</v>
      </c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</row>
    <row r="609" spans="1:28" ht="105" x14ac:dyDescent="0.2">
      <c r="A609" s="149" t="s">
        <v>269</v>
      </c>
      <c r="B609" s="149" t="s">
        <v>1995</v>
      </c>
      <c r="C609" s="145" t="s">
        <v>1898</v>
      </c>
      <c r="D609" s="3">
        <v>1</v>
      </c>
      <c r="E609" s="141">
        <v>81.08</v>
      </c>
      <c r="F609" s="141">
        <v>8.1199999999999992</v>
      </c>
      <c r="G609" s="140">
        <v>81</v>
      </c>
      <c r="H609" s="140">
        <v>59</v>
      </c>
      <c r="I609" s="142">
        <v>8</v>
      </c>
      <c r="J609" s="141">
        <v>6.8999999999999995</v>
      </c>
      <c r="K609" s="141">
        <v>6.8999999999999995</v>
      </c>
      <c r="T609">
        <v>191</v>
      </c>
      <c r="U609">
        <v>14</v>
      </c>
      <c r="V609">
        <v>59</v>
      </c>
      <c r="W609">
        <v>8</v>
      </c>
      <c r="X609">
        <v>0</v>
      </c>
      <c r="Y609">
        <v>6.8999999999999995</v>
      </c>
      <c r="Z609">
        <v>2.5000000000000001E-2</v>
      </c>
      <c r="AA609">
        <v>68</v>
      </c>
      <c r="AB609">
        <v>42</v>
      </c>
    </row>
    <row r="610" spans="1:28" ht="14.25" x14ac:dyDescent="0.2">
      <c r="C610" s="35" t="s">
        <v>158</v>
      </c>
      <c r="D610" s="3"/>
      <c r="E610" s="139">
        <v>58.86</v>
      </c>
      <c r="F610" s="139">
        <v>0.33</v>
      </c>
      <c r="G610" s="140"/>
      <c r="H610" s="140"/>
      <c r="I610" s="140">
        <v>0</v>
      </c>
      <c r="J610" s="139">
        <v>2.5000000000000001E-2</v>
      </c>
      <c r="K610" s="139">
        <v>2.5000000000000001E-2</v>
      </c>
    </row>
    <row r="611" spans="1:28" x14ac:dyDescent="0.2">
      <c r="C611" s="20" t="s">
        <v>89</v>
      </c>
      <c r="D611" s="37">
        <v>128</v>
      </c>
      <c r="E611" s="144">
        <v>68.186880000000002</v>
      </c>
      <c r="F611" s="37" t="s">
        <v>330</v>
      </c>
      <c r="G611" s="143">
        <v>68</v>
      </c>
      <c r="H611" s="37" t="s">
        <v>331</v>
      </c>
      <c r="I611" s="37"/>
      <c r="J611" s="37"/>
      <c r="K611" s="37"/>
    </row>
    <row r="612" spans="1:28" x14ac:dyDescent="0.2">
      <c r="C612" s="20" t="s">
        <v>92</v>
      </c>
      <c r="D612" s="37">
        <v>83</v>
      </c>
      <c r="E612" s="144">
        <v>41.758544999999998</v>
      </c>
      <c r="F612" s="37" t="s">
        <v>332</v>
      </c>
      <c r="G612" s="143">
        <v>42</v>
      </c>
      <c r="H612" s="37" t="s">
        <v>333</v>
      </c>
      <c r="I612" s="37"/>
      <c r="J612" s="37"/>
      <c r="K612" s="37"/>
    </row>
    <row r="613" spans="1:28" x14ac:dyDescent="0.2">
      <c r="C613" s="20" t="s">
        <v>95</v>
      </c>
      <c r="D613" s="37"/>
      <c r="E613" s="144">
        <v>191.02542499999998</v>
      </c>
      <c r="F613" s="37"/>
      <c r="G613" s="143">
        <v>191</v>
      </c>
      <c r="H613" s="37"/>
      <c r="I613" s="37"/>
      <c r="J613" s="37"/>
      <c r="K613" s="37"/>
    </row>
    <row r="614" spans="1:28" ht="99.75" x14ac:dyDescent="0.2">
      <c r="A614" s="149" t="s">
        <v>270</v>
      </c>
      <c r="B614" s="149" t="s">
        <v>1996</v>
      </c>
      <c r="C614" s="145" t="s">
        <v>603</v>
      </c>
      <c r="D614" s="3">
        <v>1</v>
      </c>
      <c r="E614" s="141">
        <v>5394.92</v>
      </c>
      <c r="F614" s="141">
        <v>0</v>
      </c>
      <c r="G614" s="140">
        <v>5395</v>
      </c>
      <c r="H614" s="140">
        <v>0</v>
      </c>
      <c r="I614" s="142">
        <v>0</v>
      </c>
      <c r="J614" s="141">
        <v>0</v>
      </c>
      <c r="K614" s="141">
        <v>0</v>
      </c>
      <c r="T614">
        <v>5395</v>
      </c>
      <c r="U614">
        <v>5395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</row>
    <row r="615" spans="1:28" ht="14.25" x14ac:dyDescent="0.2">
      <c r="C615" s="35" t="s">
        <v>158</v>
      </c>
      <c r="D615" s="3"/>
      <c r="E615" s="139">
        <v>0</v>
      </c>
      <c r="F615" s="139">
        <v>0</v>
      </c>
      <c r="G615" s="140"/>
      <c r="H615" s="140"/>
      <c r="I615" s="140">
        <v>0</v>
      </c>
      <c r="J615" s="139">
        <v>0</v>
      </c>
      <c r="K615" s="139">
        <v>0</v>
      </c>
    </row>
    <row r="616" spans="1:28" ht="119.25" x14ac:dyDescent="0.2">
      <c r="A616" s="149" t="s">
        <v>271</v>
      </c>
      <c r="B616" s="149" t="s">
        <v>1997</v>
      </c>
      <c r="C616" s="145" t="s">
        <v>1897</v>
      </c>
      <c r="D616" s="3">
        <v>1</v>
      </c>
      <c r="E616" s="141">
        <v>7.79</v>
      </c>
      <c r="F616" s="141">
        <v>1.77</v>
      </c>
      <c r="G616" s="140">
        <v>8</v>
      </c>
      <c r="H616" s="140">
        <v>4</v>
      </c>
      <c r="I616" s="142">
        <v>2</v>
      </c>
      <c r="J616" s="141">
        <v>0.43469999999999998</v>
      </c>
      <c r="K616" s="141">
        <v>0.43469999999999998</v>
      </c>
      <c r="T616">
        <v>16</v>
      </c>
      <c r="U616">
        <v>2</v>
      </c>
      <c r="V616">
        <v>4</v>
      </c>
      <c r="W616">
        <v>2</v>
      </c>
      <c r="X616">
        <v>0</v>
      </c>
      <c r="Y616">
        <v>0.43469999999999998</v>
      </c>
      <c r="Z616">
        <v>1.3125000000000001E-2</v>
      </c>
      <c r="AA616">
        <v>5</v>
      </c>
      <c r="AB616">
        <v>3</v>
      </c>
    </row>
    <row r="617" spans="1:28" ht="14.25" x14ac:dyDescent="0.2">
      <c r="C617" s="35" t="s">
        <v>158</v>
      </c>
      <c r="D617" s="3"/>
      <c r="E617" s="139">
        <v>3.98</v>
      </c>
      <c r="F617" s="139">
        <v>0.16</v>
      </c>
      <c r="G617" s="140"/>
      <c r="H617" s="140"/>
      <c r="I617" s="140">
        <v>0</v>
      </c>
      <c r="J617" s="139">
        <v>1.3125000000000001E-2</v>
      </c>
      <c r="K617" s="139">
        <v>1.3125000000000001E-2</v>
      </c>
    </row>
    <row r="618" spans="1:28" x14ac:dyDescent="0.2">
      <c r="C618" s="20" t="s">
        <v>89</v>
      </c>
      <c r="D618" s="37">
        <v>128</v>
      </c>
      <c r="E618" s="144">
        <v>4.7692800000000002</v>
      </c>
      <c r="F618" s="37" t="s">
        <v>330</v>
      </c>
      <c r="G618" s="143">
        <v>5</v>
      </c>
      <c r="H618" s="37" t="s">
        <v>331</v>
      </c>
      <c r="I618" s="37"/>
      <c r="J618" s="37"/>
      <c r="K618" s="37"/>
    </row>
    <row r="619" spans="1:28" x14ac:dyDescent="0.2">
      <c r="C619" s="20" t="s">
        <v>92</v>
      </c>
      <c r="D619" s="37">
        <v>83</v>
      </c>
      <c r="E619" s="144">
        <v>2.9207699999999992</v>
      </c>
      <c r="F619" s="37" t="s">
        <v>332</v>
      </c>
      <c r="G619" s="143">
        <v>3</v>
      </c>
      <c r="H619" s="37" t="s">
        <v>333</v>
      </c>
      <c r="I619" s="37"/>
      <c r="J619" s="37"/>
      <c r="K619" s="37"/>
    </row>
    <row r="620" spans="1:28" x14ac:dyDescent="0.2">
      <c r="C620" s="20" t="s">
        <v>95</v>
      </c>
      <c r="D620" s="37"/>
      <c r="E620" s="144">
        <v>15.480049999999999</v>
      </c>
      <c r="F620" s="37"/>
      <c r="G620" s="143">
        <v>16</v>
      </c>
      <c r="H620" s="37"/>
      <c r="I620" s="37"/>
      <c r="J620" s="37"/>
      <c r="K620" s="37"/>
    </row>
    <row r="621" spans="1:28" ht="28.5" x14ac:dyDescent="0.2">
      <c r="A621" s="149" t="s">
        <v>1998</v>
      </c>
      <c r="B621" s="149" t="s">
        <v>1146</v>
      </c>
      <c r="C621" s="145" t="s">
        <v>573</v>
      </c>
      <c r="D621" s="3">
        <v>1</v>
      </c>
      <c r="E621" s="141">
        <v>0</v>
      </c>
      <c r="F621" s="141">
        <v>0</v>
      </c>
      <c r="G621" s="140">
        <v>0</v>
      </c>
      <c r="H621" s="140">
        <v>0</v>
      </c>
      <c r="I621" s="142">
        <v>0</v>
      </c>
      <c r="J621" s="141">
        <v>0</v>
      </c>
      <c r="K621" s="14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</row>
    <row r="622" spans="1:28" ht="14.25" x14ac:dyDescent="0.2">
      <c r="C622" s="35" t="s">
        <v>158</v>
      </c>
      <c r="D622" s="3"/>
      <c r="E622" s="139">
        <v>0</v>
      </c>
      <c r="F622" s="139">
        <v>0</v>
      </c>
      <c r="G622" s="140"/>
      <c r="H622" s="140"/>
      <c r="I622" s="140">
        <v>0</v>
      </c>
      <c r="J622" s="139">
        <v>0</v>
      </c>
      <c r="K622" s="139">
        <v>0</v>
      </c>
    </row>
    <row r="623" spans="1:28" ht="99.75" x14ac:dyDescent="0.2">
      <c r="A623" s="149" t="s">
        <v>272</v>
      </c>
      <c r="B623" s="149" t="s">
        <v>1999</v>
      </c>
      <c r="C623" s="145" t="s">
        <v>604</v>
      </c>
      <c r="D623" s="3">
        <v>1</v>
      </c>
      <c r="E623" s="141">
        <v>150.86000000000001</v>
      </c>
      <c r="F623" s="141">
        <v>0</v>
      </c>
      <c r="G623" s="140">
        <v>151</v>
      </c>
      <c r="H623" s="140">
        <v>0</v>
      </c>
      <c r="I623" s="142">
        <v>0</v>
      </c>
      <c r="J623" s="141">
        <v>0</v>
      </c>
      <c r="K623" s="141">
        <v>0</v>
      </c>
      <c r="T623">
        <v>151</v>
      </c>
      <c r="U623">
        <v>151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</row>
    <row r="624" spans="1:28" ht="14.25" x14ac:dyDescent="0.2">
      <c r="C624" s="35" t="s">
        <v>158</v>
      </c>
      <c r="D624" s="3"/>
      <c r="E624" s="139">
        <v>0</v>
      </c>
      <c r="F624" s="139">
        <v>0</v>
      </c>
      <c r="G624" s="140"/>
      <c r="H624" s="140"/>
      <c r="I624" s="140">
        <v>0</v>
      </c>
      <c r="J624" s="139">
        <v>0</v>
      </c>
      <c r="K624" s="139">
        <v>0</v>
      </c>
    </row>
    <row r="625" spans="1:28" ht="119.25" x14ac:dyDescent="0.2">
      <c r="A625" s="149" t="s">
        <v>273</v>
      </c>
      <c r="B625" s="149" t="s">
        <v>2000</v>
      </c>
      <c r="C625" s="145" t="s">
        <v>1896</v>
      </c>
      <c r="D625" s="3">
        <v>2</v>
      </c>
      <c r="E625" s="141">
        <v>77.86</v>
      </c>
      <c r="F625" s="141">
        <v>1.93</v>
      </c>
      <c r="G625" s="140">
        <v>156</v>
      </c>
      <c r="H625" s="140">
        <v>23</v>
      </c>
      <c r="I625" s="142">
        <v>4</v>
      </c>
      <c r="J625" s="141">
        <v>1.292025</v>
      </c>
      <c r="K625" s="141">
        <v>2.58405</v>
      </c>
      <c r="T625">
        <v>198</v>
      </c>
      <c r="U625">
        <v>129</v>
      </c>
      <c r="V625">
        <v>23</v>
      </c>
      <c r="W625">
        <v>4</v>
      </c>
      <c r="X625">
        <v>0</v>
      </c>
      <c r="Y625">
        <v>2.58405</v>
      </c>
      <c r="Z625">
        <v>2.6250000000000002E-2</v>
      </c>
      <c r="AA625">
        <v>26</v>
      </c>
      <c r="AB625">
        <v>16</v>
      </c>
    </row>
    <row r="626" spans="1:28" ht="14.25" x14ac:dyDescent="0.2">
      <c r="C626" s="35" t="s">
        <v>158</v>
      </c>
      <c r="D626" s="3"/>
      <c r="E626" s="139">
        <v>11.59</v>
      </c>
      <c r="F626" s="139">
        <v>0.16</v>
      </c>
      <c r="G626" s="140"/>
      <c r="H626" s="140"/>
      <c r="I626" s="140">
        <v>0</v>
      </c>
      <c r="J626" s="139">
        <v>1.3125000000000001E-2</v>
      </c>
      <c r="K626" s="139">
        <v>2.6250000000000002E-2</v>
      </c>
    </row>
    <row r="627" spans="1:28" x14ac:dyDescent="0.2">
      <c r="C627" s="20" t="s">
        <v>89</v>
      </c>
      <c r="D627" s="37">
        <v>128</v>
      </c>
      <c r="E627" s="144">
        <v>13.536000000000001</v>
      </c>
      <c r="F627" s="37" t="s">
        <v>330</v>
      </c>
      <c r="G627" s="143">
        <v>26</v>
      </c>
      <c r="H627" s="37" t="s">
        <v>331</v>
      </c>
      <c r="I627" s="37"/>
      <c r="J627" s="37"/>
      <c r="K627" s="37"/>
    </row>
    <row r="628" spans="1:28" x14ac:dyDescent="0.2">
      <c r="C628" s="20" t="s">
        <v>92</v>
      </c>
      <c r="D628" s="37">
        <v>83</v>
      </c>
      <c r="E628" s="144">
        <v>8.2896249999999991</v>
      </c>
      <c r="F628" s="37" t="s">
        <v>332</v>
      </c>
      <c r="G628" s="143">
        <v>16</v>
      </c>
      <c r="H628" s="37" t="s">
        <v>333</v>
      </c>
      <c r="I628" s="37"/>
      <c r="J628" s="37"/>
      <c r="K628" s="37"/>
    </row>
    <row r="629" spans="1:28" x14ac:dyDescent="0.2">
      <c r="C629" s="20" t="s">
        <v>95</v>
      </c>
      <c r="D629" s="37"/>
      <c r="E629" s="144">
        <v>99.685625000000002</v>
      </c>
      <c r="F629" s="37"/>
      <c r="G629" s="143">
        <v>198</v>
      </c>
      <c r="H629" s="37"/>
      <c r="I629" s="37"/>
      <c r="J629" s="37"/>
      <c r="K629" s="37"/>
    </row>
    <row r="630" spans="1:28" ht="133.5" x14ac:dyDescent="0.2">
      <c r="A630" s="149" t="s">
        <v>274</v>
      </c>
      <c r="B630" s="149" t="s">
        <v>1987</v>
      </c>
      <c r="C630" s="145" t="s">
        <v>1894</v>
      </c>
      <c r="D630" s="3">
        <v>3.5000000000000003E-2</v>
      </c>
      <c r="E630" s="141">
        <v>2045.99</v>
      </c>
      <c r="F630" s="141">
        <v>123.7</v>
      </c>
      <c r="G630" s="140">
        <v>71</v>
      </c>
      <c r="H630" s="140">
        <v>52</v>
      </c>
      <c r="I630" s="142">
        <v>4</v>
      </c>
      <c r="J630" s="141">
        <v>170.25749999999999</v>
      </c>
      <c r="K630" s="141">
        <v>5.9590125</v>
      </c>
      <c r="T630">
        <v>169</v>
      </c>
      <c r="U630">
        <v>15</v>
      </c>
      <c r="V630">
        <v>52</v>
      </c>
      <c r="W630">
        <v>4</v>
      </c>
      <c r="X630">
        <v>1</v>
      </c>
      <c r="Y630">
        <v>5.9590125</v>
      </c>
      <c r="Z630">
        <v>4.3181249999999997E-2</v>
      </c>
      <c r="AA630">
        <v>61</v>
      </c>
      <c r="AB630">
        <v>37</v>
      </c>
    </row>
    <row r="631" spans="1:28" ht="14.25" x14ac:dyDescent="0.2">
      <c r="C631" s="35" t="s">
        <v>97</v>
      </c>
      <c r="D631" s="3"/>
      <c r="E631" s="139">
        <v>1488.05</v>
      </c>
      <c r="F631" s="139">
        <v>15.26</v>
      </c>
      <c r="G631" s="140"/>
      <c r="H631" s="140"/>
      <c r="I631" s="140">
        <v>1</v>
      </c>
      <c r="J631" s="139">
        <v>1.2337499999999999</v>
      </c>
      <c r="K631" s="139">
        <v>4.3181249999999997E-2</v>
      </c>
    </row>
    <row r="632" spans="1:28" x14ac:dyDescent="0.2">
      <c r="C632" s="36" t="s">
        <v>2001</v>
      </c>
    </row>
    <row r="633" spans="1:28" x14ac:dyDescent="0.2">
      <c r="C633" s="20" t="s">
        <v>89</v>
      </c>
      <c r="D633" s="37">
        <v>128</v>
      </c>
      <c r="E633" s="144">
        <v>1731.81312</v>
      </c>
      <c r="F633" s="37" t="s">
        <v>330</v>
      </c>
      <c r="G633" s="143">
        <v>61</v>
      </c>
      <c r="H633" s="37" t="s">
        <v>331</v>
      </c>
      <c r="I633" s="37"/>
      <c r="J633" s="37"/>
      <c r="K633" s="37"/>
    </row>
    <row r="634" spans="1:28" x14ac:dyDescent="0.2">
      <c r="C634" s="20" t="s">
        <v>92</v>
      </c>
      <c r="D634" s="37">
        <v>83</v>
      </c>
      <c r="E634" s="144">
        <v>1060.5852050000001</v>
      </c>
      <c r="F634" s="37" t="s">
        <v>332</v>
      </c>
      <c r="G634" s="143">
        <v>37</v>
      </c>
      <c r="H634" s="37" t="s">
        <v>333</v>
      </c>
      <c r="I634" s="37"/>
      <c r="J634" s="37"/>
      <c r="K634" s="37"/>
    </row>
    <row r="635" spans="1:28" x14ac:dyDescent="0.2">
      <c r="C635" s="20" t="s">
        <v>95</v>
      </c>
      <c r="D635" s="37"/>
      <c r="E635" s="144">
        <v>4838.3883249999999</v>
      </c>
      <c r="F635" s="37"/>
      <c r="G635" s="143">
        <v>169</v>
      </c>
      <c r="H635" s="37"/>
      <c r="I635" s="37"/>
      <c r="J635" s="37"/>
      <c r="K635" s="37"/>
    </row>
    <row r="636" spans="1:28" ht="14.25" x14ac:dyDescent="0.2">
      <c r="A636" s="149" t="s">
        <v>2002</v>
      </c>
      <c r="B636" s="149" t="s">
        <v>1146</v>
      </c>
      <c r="C636" s="145" t="s">
        <v>535</v>
      </c>
      <c r="D636" s="3">
        <v>3.5</v>
      </c>
      <c r="E636" s="141">
        <v>0</v>
      </c>
      <c r="F636" s="141">
        <v>0</v>
      </c>
      <c r="G636" s="140">
        <v>0</v>
      </c>
      <c r="H636" s="140">
        <v>0</v>
      </c>
      <c r="I636" s="142">
        <v>0</v>
      </c>
      <c r="J636" s="141">
        <v>0</v>
      </c>
      <c r="K636" s="141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</row>
    <row r="637" spans="1:28" ht="14.25" x14ac:dyDescent="0.2">
      <c r="C637" s="35" t="s">
        <v>117</v>
      </c>
      <c r="D637" s="3"/>
      <c r="E637" s="139">
        <v>0</v>
      </c>
      <c r="F637" s="139">
        <v>0</v>
      </c>
      <c r="G637" s="140"/>
      <c r="H637" s="140"/>
      <c r="I637" s="140">
        <v>0</v>
      </c>
      <c r="J637" s="139">
        <v>0</v>
      </c>
      <c r="K637" s="139">
        <v>0</v>
      </c>
    </row>
    <row r="638" spans="1:28" ht="99.75" x14ac:dyDescent="0.2">
      <c r="A638" s="149" t="s">
        <v>275</v>
      </c>
      <c r="B638" s="149" t="s">
        <v>2003</v>
      </c>
      <c r="C638" s="145" t="s">
        <v>541</v>
      </c>
      <c r="D638" s="3">
        <v>1.8</v>
      </c>
      <c r="E638" s="141">
        <v>128.13</v>
      </c>
      <c r="F638" s="141">
        <v>0</v>
      </c>
      <c r="G638" s="140">
        <v>231</v>
      </c>
      <c r="H638" s="140">
        <v>0</v>
      </c>
      <c r="I638" s="142">
        <v>0</v>
      </c>
      <c r="J638" s="141">
        <v>0</v>
      </c>
      <c r="K638" s="141">
        <v>0</v>
      </c>
      <c r="T638">
        <v>231</v>
      </c>
      <c r="U638">
        <v>231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</row>
    <row r="639" spans="1:28" ht="14.25" x14ac:dyDescent="0.2">
      <c r="C639" s="35" t="s">
        <v>117</v>
      </c>
      <c r="D639" s="3"/>
      <c r="E639" s="139">
        <v>0</v>
      </c>
      <c r="F639" s="139">
        <v>0</v>
      </c>
      <c r="G639" s="140"/>
      <c r="H639" s="140"/>
      <c r="I639" s="140">
        <v>0</v>
      </c>
      <c r="J639" s="139">
        <v>0</v>
      </c>
      <c r="K639" s="139">
        <v>0</v>
      </c>
    </row>
    <row r="640" spans="1:28" ht="99.75" x14ac:dyDescent="0.2">
      <c r="A640" s="149" t="s">
        <v>276</v>
      </c>
      <c r="B640" s="149" t="s">
        <v>2004</v>
      </c>
      <c r="C640" s="145" t="s">
        <v>546</v>
      </c>
      <c r="D640" s="3">
        <v>0.25</v>
      </c>
      <c r="E640" s="141">
        <v>176.15</v>
      </c>
      <c r="F640" s="141">
        <v>0</v>
      </c>
      <c r="G640" s="140">
        <v>44</v>
      </c>
      <c r="H640" s="140">
        <v>0</v>
      </c>
      <c r="I640" s="142">
        <v>0</v>
      </c>
      <c r="J640" s="141">
        <v>0</v>
      </c>
      <c r="K640" s="141">
        <v>0</v>
      </c>
      <c r="T640">
        <v>44</v>
      </c>
      <c r="U640">
        <v>44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</row>
    <row r="641" spans="1:28" ht="14.25" x14ac:dyDescent="0.2">
      <c r="C641" s="35" t="s">
        <v>117</v>
      </c>
      <c r="D641" s="3"/>
      <c r="E641" s="139">
        <v>0</v>
      </c>
      <c r="F641" s="139">
        <v>0</v>
      </c>
      <c r="G641" s="140"/>
      <c r="H641" s="140"/>
      <c r="I641" s="140">
        <v>0</v>
      </c>
      <c r="J641" s="139">
        <v>0</v>
      </c>
      <c r="K641" s="139">
        <v>0</v>
      </c>
    </row>
    <row r="642" spans="1:28" x14ac:dyDescent="0.2">
      <c r="C642" s="36" t="s">
        <v>594</v>
      </c>
    </row>
    <row r="643" spans="1:28" ht="99.75" x14ac:dyDescent="0.2">
      <c r="A643" s="149" t="s">
        <v>277</v>
      </c>
      <c r="B643" s="149" t="s">
        <v>2005</v>
      </c>
      <c r="C643" s="145" t="s">
        <v>545</v>
      </c>
      <c r="D643" s="3">
        <v>1.41</v>
      </c>
      <c r="E643" s="141">
        <v>170.66</v>
      </c>
      <c r="F643" s="141">
        <v>0</v>
      </c>
      <c r="G643" s="140">
        <v>241</v>
      </c>
      <c r="H643" s="140">
        <v>0</v>
      </c>
      <c r="I643" s="142">
        <v>0</v>
      </c>
      <c r="J643" s="141">
        <v>0</v>
      </c>
      <c r="K643" s="141">
        <v>0</v>
      </c>
      <c r="T643">
        <v>241</v>
      </c>
      <c r="U643">
        <v>241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</row>
    <row r="644" spans="1:28" ht="14.25" x14ac:dyDescent="0.2">
      <c r="C644" s="35" t="s">
        <v>117</v>
      </c>
      <c r="D644" s="3"/>
      <c r="E644" s="139">
        <v>0</v>
      </c>
      <c r="F644" s="139">
        <v>0</v>
      </c>
      <c r="G644" s="140"/>
      <c r="H644" s="140"/>
      <c r="I644" s="140">
        <v>0</v>
      </c>
      <c r="J644" s="139">
        <v>0</v>
      </c>
      <c r="K644" s="139">
        <v>0</v>
      </c>
    </row>
    <row r="645" spans="1:28" x14ac:dyDescent="0.2">
      <c r="C645" s="36" t="s">
        <v>605</v>
      </c>
    </row>
    <row r="646" spans="1:28" ht="133.5" x14ac:dyDescent="0.2">
      <c r="A646" s="149" t="s">
        <v>278</v>
      </c>
      <c r="B646" s="149" t="s">
        <v>2006</v>
      </c>
      <c r="C646" s="145" t="s">
        <v>1895</v>
      </c>
      <c r="D646" s="3">
        <v>3.9E-2</v>
      </c>
      <c r="E646" s="141">
        <v>2214.02</v>
      </c>
      <c r="F646" s="141">
        <v>154.12</v>
      </c>
      <c r="G646" s="140">
        <v>86</v>
      </c>
      <c r="H646" s="140">
        <v>63</v>
      </c>
      <c r="I646" s="142">
        <v>6</v>
      </c>
      <c r="J646" s="141">
        <v>185.95500000000001</v>
      </c>
      <c r="K646" s="141">
        <v>7.2522450000000003</v>
      </c>
      <c r="T646">
        <v>205</v>
      </c>
      <c r="U646">
        <v>17</v>
      </c>
      <c r="V646">
        <v>63</v>
      </c>
      <c r="W646">
        <v>6</v>
      </c>
      <c r="X646">
        <v>1</v>
      </c>
      <c r="Y646">
        <v>7.2522450000000003</v>
      </c>
      <c r="Z646">
        <v>6.1425000000000007E-2</v>
      </c>
      <c r="AA646">
        <v>74</v>
      </c>
      <c r="AB646">
        <v>45</v>
      </c>
    </row>
    <row r="647" spans="1:28" ht="14.25" x14ac:dyDescent="0.2">
      <c r="C647" s="35" t="s">
        <v>97</v>
      </c>
      <c r="D647" s="3"/>
      <c r="E647" s="139">
        <v>1625.25</v>
      </c>
      <c r="F647" s="139">
        <v>19.46</v>
      </c>
      <c r="G647" s="140"/>
      <c r="H647" s="140"/>
      <c r="I647" s="140">
        <v>1</v>
      </c>
      <c r="J647" s="139">
        <v>1.5750000000000002</v>
      </c>
      <c r="K647" s="139">
        <v>6.1425000000000007E-2</v>
      </c>
    </row>
    <row r="648" spans="1:28" x14ac:dyDescent="0.2">
      <c r="C648" s="36" t="s">
        <v>606</v>
      </c>
    </row>
    <row r="649" spans="1:28" x14ac:dyDescent="0.2">
      <c r="C649" s="20" t="s">
        <v>89</v>
      </c>
      <c r="D649" s="37">
        <v>128</v>
      </c>
      <c r="E649" s="144">
        <v>1894.7059200000001</v>
      </c>
      <c r="F649" s="37" t="s">
        <v>330</v>
      </c>
      <c r="G649" s="143">
        <v>74</v>
      </c>
      <c r="H649" s="37" t="s">
        <v>331</v>
      </c>
      <c r="I649" s="37"/>
      <c r="J649" s="37"/>
      <c r="K649" s="37"/>
    </row>
    <row r="650" spans="1:28" x14ac:dyDescent="0.2">
      <c r="C650" s="20" t="s">
        <v>92</v>
      </c>
      <c r="D650" s="37">
        <v>83</v>
      </c>
      <c r="E650" s="144">
        <v>1160.342905</v>
      </c>
      <c r="F650" s="37" t="s">
        <v>332</v>
      </c>
      <c r="G650" s="143">
        <v>45</v>
      </c>
      <c r="H650" s="37" t="s">
        <v>333</v>
      </c>
      <c r="I650" s="37"/>
      <c r="J650" s="37"/>
      <c r="K650" s="37"/>
    </row>
    <row r="651" spans="1:28" x14ac:dyDescent="0.2">
      <c r="C651" s="20" t="s">
        <v>95</v>
      </c>
      <c r="D651" s="37"/>
      <c r="E651" s="144">
        <v>5269.0688250000003</v>
      </c>
      <c r="F651" s="37"/>
      <c r="G651" s="143">
        <v>205</v>
      </c>
      <c r="H651" s="37"/>
      <c r="I651" s="37"/>
      <c r="J651" s="37"/>
      <c r="K651" s="37"/>
    </row>
    <row r="652" spans="1:28" ht="14.25" x14ac:dyDescent="0.2">
      <c r="A652" s="149" t="s">
        <v>2007</v>
      </c>
      <c r="B652" s="149" t="s">
        <v>1146</v>
      </c>
      <c r="C652" s="145" t="s">
        <v>535</v>
      </c>
      <c r="D652" s="3">
        <v>3.9</v>
      </c>
      <c r="E652" s="141">
        <v>0</v>
      </c>
      <c r="F652" s="141">
        <v>0</v>
      </c>
      <c r="G652" s="140">
        <v>0</v>
      </c>
      <c r="H652" s="140">
        <v>0</v>
      </c>
      <c r="I652" s="142">
        <v>0</v>
      </c>
      <c r="J652" s="141">
        <v>0</v>
      </c>
      <c r="K652" s="141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</row>
    <row r="653" spans="1:28" ht="14.25" x14ac:dyDescent="0.2">
      <c r="C653" s="35" t="s">
        <v>117</v>
      </c>
      <c r="D653" s="3"/>
      <c r="E653" s="139">
        <v>0</v>
      </c>
      <c r="F653" s="139">
        <v>0</v>
      </c>
      <c r="G653" s="140"/>
      <c r="H653" s="140"/>
      <c r="I653" s="140">
        <v>0</v>
      </c>
      <c r="J653" s="139">
        <v>0</v>
      </c>
      <c r="K653" s="139">
        <v>0</v>
      </c>
    </row>
    <row r="654" spans="1:28" ht="99.75" x14ac:dyDescent="0.2">
      <c r="A654" s="149" t="s">
        <v>279</v>
      </c>
      <c r="B654" s="149" t="s">
        <v>1985</v>
      </c>
      <c r="C654" s="145" t="s">
        <v>607</v>
      </c>
      <c r="D654" s="3">
        <v>3.9</v>
      </c>
      <c r="E654" s="141">
        <v>75.72</v>
      </c>
      <c r="F654" s="141">
        <v>0</v>
      </c>
      <c r="G654" s="140">
        <v>295</v>
      </c>
      <c r="H654" s="140">
        <v>0</v>
      </c>
      <c r="I654" s="142">
        <v>0</v>
      </c>
      <c r="J654" s="141">
        <v>0</v>
      </c>
      <c r="K654" s="141">
        <v>0</v>
      </c>
      <c r="T654">
        <v>295</v>
      </c>
      <c r="U654">
        <v>295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</row>
    <row r="655" spans="1:28" ht="14.25" x14ac:dyDescent="0.2">
      <c r="C655" s="35" t="s">
        <v>117</v>
      </c>
      <c r="D655" s="3"/>
      <c r="E655" s="139">
        <v>0</v>
      </c>
      <c r="F655" s="139">
        <v>0</v>
      </c>
      <c r="G655" s="140"/>
      <c r="H655" s="140"/>
      <c r="I655" s="140">
        <v>0</v>
      </c>
      <c r="J655" s="139">
        <v>0</v>
      </c>
      <c r="K655" s="139">
        <v>0</v>
      </c>
    </row>
    <row r="656" spans="1:28" ht="99.75" x14ac:dyDescent="0.2">
      <c r="A656" s="149" t="s">
        <v>281</v>
      </c>
      <c r="B656" s="149" t="s">
        <v>1986</v>
      </c>
      <c r="C656" s="145" t="s">
        <v>548</v>
      </c>
      <c r="D656" s="3">
        <v>1E-3</v>
      </c>
      <c r="E656" s="141">
        <v>12676.79</v>
      </c>
      <c r="F656" s="141">
        <v>0</v>
      </c>
      <c r="G656" s="140">
        <v>13</v>
      </c>
      <c r="H656" s="140">
        <v>0</v>
      </c>
      <c r="I656" s="142">
        <v>0</v>
      </c>
      <c r="J656" s="141">
        <v>0</v>
      </c>
      <c r="K656" s="141">
        <v>0</v>
      </c>
      <c r="T656">
        <v>13</v>
      </c>
      <c r="U656">
        <v>13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</row>
    <row r="657" spans="1:28" ht="14.25" x14ac:dyDescent="0.2">
      <c r="C657" s="35" t="s">
        <v>99</v>
      </c>
      <c r="D657" s="3"/>
      <c r="E657" s="139">
        <v>0</v>
      </c>
      <c r="F657" s="139">
        <v>0</v>
      </c>
      <c r="G657" s="140"/>
      <c r="H657" s="140"/>
      <c r="I657" s="140">
        <v>0</v>
      </c>
      <c r="J657" s="139">
        <v>0</v>
      </c>
      <c r="K657" s="139">
        <v>0</v>
      </c>
    </row>
    <row r="658" spans="1:28" x14ac:dyDescent="0.2">
      <c r="C658" s="36" t="s">
        <v>598</v>
      </c>
    </row>
    <row r="660" spans="1:28" ht="15" x14ac:dyDescent="0.25">
      <c r="A660" s="4"/>
      <c r="B660" s="4"/>
      <c r="C660" s="187" t="s">
        <v>608</v>
      </c>
      <c r="D660" s="187"/>
      <c r="E660" s="187"/>
      <c r="F660" s="187"/>
      <c r="G660" s="136">
        <f>IF(SUM(T608:T659)=0, "-", SUM(T608:T659))</f>
        <v>7149</v>
      </c>
      <c r="H660" s="136">
        <f>IF(SUM(V608:V659)=0, "-", SUM(V608:V659))</f>
        <v>201</v>
      </c>
      <c r="I660" s="138">
        <f>IF(SUM(W608:W659)=0, "-", SUM(W608:W659))</f>
        <v>24</v>
      </c>
      <c r="J660" s="136"/>
      <c r="K660" s="137">
        <f>IF(SUM(Y608:Y659)=0, "-", SUM(Y608:Y659))</f>
        <v>23.130007499999998</v>
      </c>
    </row>
    <row r="661" spans="1:28" ht="15" x14ac:dyDescent="0.25">
      <c r="A661" s="4"/>
      <c r="B661" s="4"/>
      <c r="C661" s="4"/>
      <c r="D661" s="4"/>
      <c r="E661" s="4"/>
      <c r="F661" s="4"/>
      <c r="G661" s="136"/>
      <c r="H661" s="136"/>
      <c r="I661" s="136">
        <f>IF(SUM(X608:X659)=0, "-", SUM(X608:X659))</f>
        <v>2</v>
      </c>
      <c r="J661" s="136"/>
      <c r="K661" s="135">
        <f>IF(SUM(Z608:Z659)=0, "-", SUM(Z608:Z659))</f>
        <v>0.16898125000000003</v>
      </c>
    </row>
    <row r="664" spans="1:28" ht="14.25" x14ac:dyDescent="0.2">
      <c r="C664" s="183" t="s">
        <v>127</v>
      </c>
      <c r="D664" s="183"/>
      <c r="E664" s="183"/>
      <c r="F664" s="183"/>
      <c r="G664" s="183"/>
      <c r="H664" s="172">
        <v>201</v>
      </c>
      <c r="I664" s="172"/>
    </row>
    <row r="665" spans="1:28" ht="14.25" x14ac:dyDescent="0.2">
      <c r="C665" s="183" t="s">
        <v>128</v>
      </c>
      <c r="D665" s="183"/>
      <c r="E665" s="183"/>
      <c r="F665" s="183"/>
      <c r="G665" s="183"/>
      <c r="H665" s="172">
        <v>24</v>
      </c>
      <c r="I665" s="172"/>
    </row>
    <row r="666" spans="1:28" ht="14.25" x14ac:dyDescent="0.2">
      <c r="C666" s="183" t="s">
        <v>129</v>
      </c>
      <c r="D666" s="183"/>
      <c r="E666" s="183"/>
      <c r="F666" s="183"/>
      <c r="G666" s="183"/>
      <c r="H666" s="172">
        <v>6547</v>
      </c>
      <c r="I666" s="172"/>
    </row>
    <row r="667" spans="1:28" ht="14.25" x14ac:dyDescent="0.2">
      <c r="C667" s="183" t="s">
        <v>130</v>
      </c>
      <c r="D667" s="183"/>
      <c r="E667" s="183"/>
      <c r="F667" s="183"/>
      <c r="G667" s="183"/>
      <c r="H667" s="172">
        <v>234</v>
      </c>
      <c r="I667" s="172"/>
    </row>
    <row r="668" spans="1:28" ht="14.25" x14ac:dyDescent="0.2">
      <c r="C668" s="183" t="s">
        <v>131</v>
      </c>
      <c r="D668" s="183"/>
      <c r="E668" s="183"/>
      <c r="F668" s="183"/>
      <c r="G668" s="183"/>
      <c r="H668" s="172">
        <v>143</v>
      </c>
      <c r="I668" s="172"/>
    </row>
    <row r="669" spans="1:28" ht="14.25" x14ac:dyDescent="0.2">
      <c r="C669" s="183" t="s">
        <v>134</v>
      </c>
      <c r="D669" s="183"/>
      <c r="E669" s="183"/>
      <c r="F669" s="183"/>
      <c r="G669" s="183"/>
      <c r="H669" s="172">
        <v>7149</v>
      </c>
      <c r="I669" s="172"/>
    </row>
    <row r="671" spans="1:28" ht="16.5" x14ac:dyDescent="0.25">
      <c r="A671" s="186" t="s">
        <v>609</v>
      </c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</row>
    <row r="672" spans="1:28" ht="133.5" x14ac:dyDescent="0.2">
      <c r="A672" s="149" t="s">
        <v>282</v>
      </c>
      <c r="B672" s="149" t="s">
        <v>1987</v>
      </c>
      <c r="C672" s="145" t="s">
        <v>1894</v>
      </c>
      <c r="D672" s="3">
        <v>0.21299999999999999</v>
      </c>
      <c r="E672" s="141">
        <v>2045.99</v>
      </c>
      <c r="F672" s="141">
        <v>123.7</v>
      </c>
      <c r="G672" s="140">
        <v>435</v>
      </c>
      <c r="H672" s="140">
        <v>317</v>
      </c>
      <c r="I672" s="142">
        <v>26</v>
      </c>
      <c r="J672" s="141">
        <v>170.25749999999999</v>
      </c>
      <c r="K672" s="141">
        <v>36.264847499999995</v>
      </c>
      <c r="T672">
        <v>1030</v>
      </c>
      <c r="U672">
        <v>92</v>
      </c>
      <c r="V672">
        <v>317</v>
      </c>
      <c r="W672">
        <v>26</v>
      </c>
      <c r="X672">
        <v>3</v>
      </c>
      <c r="Y672">
        <v>36.264847499999995</v>
      </c>
      <c r="Z672">
        <v>0.26278874999999996</v>
      </c>
      <c r="AA672">
        <v>369</v>
      </c>
      <c r="AB672">
        <v>226</v>
      </c>
    </row>
    <row r="673" spans="1:28" ht="14.25" x14ac:dyDescent="0.2">
      <c r="C673" s="35" t="s">
        <v>97</v>
      </c>
      <c r="D673" s="3"/>
      <c r="E673" s="139">
        <v>1488.05</v>
      </c>
      <c r="F673" s="139">
        <v>15.26</v>
      </c>
      <c r="G673" s="140"/>
      <c r="H673" s="140"/>
      <c r="I673" s="140">
        <v>3</v>
      </c>
      <c r="J673" s="139">
        <v>1.2337499999999999</v>
      </c>
      <c r="K673" s="139">
        <v>0.26278874999999996</v>
      </c>
    </row>
    <row r="674" spans="1:28" x14ac:dyDescent="0.2">
      <c r="C674" s="36" t="s">
        <v>610</v>
      </c>
    </row>
    <row r="675" spans="1:28" x14ac:dyDescent="0.2">
      <c r="C675" s="20" t="s">
        <v>89</v>
      </c>
      <c r="D675" s="37">
        <v>128</v>
      </c>
      <c r="E675" s="144">
        <v>1731.81312</v>
      </c>
      <c r="F675" s="37" t="s">
        <v>330</v>
      </c>
      <c r="G675" s="143">
        <v>369</v>
      </c>
      <c r="H675" s="37" t="s">
        <v>331</v>
      </c>
      <c r="I675" s="37"/>
      <c r="J675" s="37"/>
      <c r="K675" s="37"/>
    </row>
    <row r="676" spans="1:28" x14ac:dyDescent="0.2">
      <c r="C676" s="20" t="s">
        <v>92</v>
      </c>
      <c r="D676" s="37">
        <v>83</v>
      </c>
      <c r="E676" s="144">
        <v>1060.5852050000001</v>
      </c>
      <c r="F676" s="37" t="s">
        <v>332</v>
      </c>
      <c r="G676" s="143">
        <v>226</v>
      </c>
      <c r="H676" s="37" t="s">
        <v>333</v>
      </c>
      <c r="I676" s="37"/>
      <c r="J676" s="37"/>
      <c r="K676" s="37"/>
    </row>
    <row r="677" spans="1:28" x14ac:dyDescent="0.2">
      <c r="C677" s="20" t="s">
        <v>95</v>
      </c>
      <c r="D677" s="37"/>
      <c r="E677" s="144">
        <v>4838.3883249999999</v>
      </c>
      <c r="F677" s="37"/>
      <c r="G677" s="143">
        <v>1030</v>
      </c>
      <c r="H677" s="37"/>
      <c r="I677" s="37"/>
      <c r="J677" s="37"/>
      <c r="K677" s="37"/>
    </row>
    <row r="678" spans="1:28" ht="14.25" x14ac:dyDescent="0.2">
      <c r="A678" s="149" t="s">
        <v>1988</v>
      </c>
      <c r="B678" s="149" t="s">
        <v>1146</v>
      </c>
      <c r="C678" s="145" t="s">
        <v>535</v>
      </c>
      <c r="D678" s="3">
        <v>21.3</v>
      </c>
      <c r="E678" s="141">
        <v>0</v>
      </c>
      <c r="F678" s="141">
        <v>0</v>
      </c>
      <c r="G678" s="140">
        <v>0</v>
      </c>
      <c r="H678" s="140">
        <v>0</v>
      </c>
      <c r="I678" s="142">
        <v>0</v>
      </c>
      <c r="J678" s="141">
        <v>0</v>
      </c>
      <c r="K678" s="141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</row>
    <row r="679" spans="1:28" ht="14.25" x14ac:dyDescent="0.2">
      <c r="C679" s="35" t="s">
        <v>117</v>
      </c>
      <c r="D679" s="3"/>
      <c r="E679" s="139">
        <v>0</v>
      </c>
      <c r="F679" s="139">
        <v>0</v>
      </c>
      <c r="G679" s="140"/>
      <c r="H679" s="140"/>
      <c r="I679" s="140">
        <v>0</v>
      </c>
      <c r="J679" s="139">
        <v>0</v>
      </c>
      <c r="K679" s="139">
        <v>0</v>
      </c>
    </row>
    <row r="680" spans="1:28" ht="99.75" x14ac:dyDescent="0.2">
      <c r="A680" s="149" t="s">
        <v>283</v>
      </c>
      <c r="B680" s="149" t="s">
        <v>1989</v>
      </c>
      <c r="C680" s="145" t="s">
        <v>611</v>
      </c>
      <c r="D680" s="3">
        <v>16.8</v>
      </c>
      <c r="E680" s="141">
        <v>130.37</v>
      </c>
      <c r="F680" s="141">
        <v>0</v>
      </c>
      <c r="G680" s="140">
        <v>2190</v>
      </c>
      <c r="H680" s="140">
        <v>0</v>
      </c>
      <c r="I680" s="142">
        <v>0</v>
      </c>
      <c r="J680" s="141">
        <v>0</v>
      </c>
      <c r="K680" s="141">
        <v>0</v>
      </c>
      <c r="T680">
        <v>2190</v>
      </c>
      <c r="U680">
        <v>2190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</row>
    <row r="681" spans="1:28" ht="14.25" x14ac:dyDescent="0.2">
      <c r="C681" s="35" t="s">
        <v>117</v>
      </c>
      <c r="D681" s="3"/>
      <c r="E681" s="139">
        <v>0</v>
      </c>
      <c r="F681" s="139">
        <v>0</v>
      </c>
      <c r="G681" s="140"/>
      <c r="H681" s="140"/>
      <c r="I681" s="140">
        <v>0</v>
      </c>
      <c r="J681" s="139">
        <v>0</v>
      </c>
      <c r="K681" s="139">
        <v>0</v>
      </c>
    </row>
    <row r="682" spans="1:28" ht="99.75" x14ac:dyDescent="0.2">
      <c r="A682" s="149" t="s">
        <v>284</v>
      </c>
      <c r="B682" s="149" t="s">
        <v>1990</v>
      </c>
      <c r="C682" s="145" t="s">
        <v>612</v>
      </c>
      <c r="D682" s="3">
        <v>4.5</v>
      </c>
      <c r="E682" s="141">
        <v>172.9</v>
      </c>
      <c r="F682" s="141">
        <v>0</v>
      </c>
      <c r="G682" s="140">
        <v>778</v>
      </c>
      <c r="H682" s="140">
        <v>0</v>
      </c>
      <c r="I682" s="142">
        <v>0</v>
      </c>
      <c r="J682" s="141">
        <v>0</v>
      </c>
      <c r="K682" s="141">
        <v>0</v>
      </c>
      <c r="T682">
        <v>778</v>
      </c>
      <c r="U682">
        <v>778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</row>
    <row r="683" spans="1:28" ht="14.25" x14ac:dyDescent="0.2">
      <c r="C683" s="35" t="s">
        <v>117</v>
      </c>
      <c r="D683" s="3"/>
      <c r="E683" s="139">
        <v>0</v>
      </c>
      <c r="F683" s="139">
        <v>0</v>
      </c>
      <c r="G683" s="140"/>
      <c r="H683" s="140"/>
      <c r="I683" s="140">
        <v>0</v>
      </c>
      <c r="J683" s="139">
        <v>0</v>
      </c>
      <c r="K683" s="139">
        <v>0</v>
      </c>
    </row>
    <row r="684" spans="1:28" x14ac:dyDescent="0.2">
      <c r="C684" s="36" t="s">
        <v>613</v>
      </c>
    </row>
    <row r="685" spans="1:28" ht="119.25" x14ac:dyDescent="0.2">
      <c r="A685" s="149" t="s">
        <v>285</v>
      </c>
      <c r="B685" s="149" t="s">
        <v>1991</v>
      </c>
      <c r="C685" s="145" t="s">
        <v>1893</v>
      </c>
      <c r="D685" s="3">
        <v>3</v>
      </c>
      <c r="E685" s="141">
        <v>9.58</v>
      </c>
      <c r="F685" s="141">
        <v>2</v>
      </c>
      <c r="G685" s="140">
        <v>28</v>
      </c>
      <c r="H685" s="140">
        <v>16</v>
      </c>
      <c r="I685" s="142">
        <v>6</v>
      </c>
      <c r="J685" s="141">
        <v>0.59167500000000006</v>
      </c>
      <c r="K685" s="141">
        <v>1.7750250000000003</v>
      </c>
      <c r="T685">
        <v>57</v>
      </c>
      <c r="U685">
        <v>6</v>
      </c>
      <c r="V685">
        <v>16</v>
      </c>
      <c r="W685">
        <v>6</v>
      </c>
      <c r="X685">
        <v>0</v>
      </c>
      <c r="Y685">
        <v>1.7750250000000003</v>
      </c>
      <c r="Z685">
        <v>3.9375000000000007E-2</v>
      </c>
      <c r="AA685">
        <v>18</v>
      </c>
      <c r="AB685">
        <v>11</v>
      </c>
    </row>
    <row r="686" spans="1:28" ht="14.25" x14ac:dyDescent="0.2">
      <c r="C686" s="35" t="s">
        <v>158</v>
      </c>
      <c r="D686" s="3"/>
      <c r="E686" s="139">
        <v>5.43</v>
      </c>
      <c r="F686" s="139">
        <v>0.16</v>
      </c>
      <c r="G686" s="140"/>
      <c r="H686" s="140"/>
      <c r="I686" s="140">
        <v>0</v>
      </c>
      <c r="J686" s="139">
        <v>1.3125000000000001E-2</v>
      </c>
      <c r="K686" s="139">
        <v>3.9375000000000007E-2</v>
      </c>
    </row>
    <row r="687" spans="1:28" x14ac:dyDescent="0.2">
      <c r="C687" s="20" t="s">
        <v>89</v>
      </c>
      <c r="D687" s="37">
        <v>128</v>
      </c>
      <c r="E687" s="144">
        <v>6.4396799999999992</v>
      </c>
      <c r="F687" s="37" t="s">
        <v>330</v>
      </c>
      <c r="G687" s="143">
        <v>18</v>
      </c>
      <c r="H687" s="37" t="s">
        <v>331</v>
      </c>
      <c r="I687" s="37"/>
      <c r="J687" s="37"/>
      <c r="K687" s="37"/>
    </row>
    <row r="688" spans="1:28" x14ac:dyDescent="0.2">
      <c r="C688" s="20" t="s">
        <v>92</v>
      </c>
      <c r="D688" s="37">
        <v>83</v>
      </c>
      <c r="E688" s="144">
        <v>3.9437449999999994</v>
      </c>
      <c r="F688" s="37" t="s">
        <v>332</v>
      </c>
      <c r="G688" s="143">
        <v>11</v>
      </c>
      <c r="H688" s="37" t="s">
        <v>333</v>
      </c>
      <c r="I688" s="37"/>
      <c r="J688" s="37"/>
      <c r="K688" s="37"/>
    </row>
    <row r="689" spans="1:28" x14ac:dyDescent="0.2">
      <c r="C689" s="20" t="s">
        <v>95</v>
      </c>
      <c r="D689" s="37"/>
      <c r="E689" s="144">
        <v>19.963425000000001</v>
      </c>
      <c r="F689" s="37"/>
      <c r="G689" s="143">
        <v>57</v>
      </c>
      <c r="H689" s="37"/>
      <c r="I689" s="37"/>
      <c r="J689" s="37"/>
      <c r="K689" s="37"/>
    </row>
    <row r="690" spans="1:28" ht="28.5" x14ac:dyDescent="0.2">
      <c r="A690" s="149" t="s">
        <v>1992</v>
      </c>
      <c r="B690" s="149" t="s">
        <v>1146</v>
      </c>
      <c r="C690" s="145" t="s">
        <v>573</v>
      </c>
      <c r="D690" s="3">
        <v>3</v>
      </c>
      <c r="E690" s="141">
        <v>0</v>
      </c>
      <c r="F690" s="141">
        <v>0</v>
      </c>
      <c r="G690" s="140">
        <v>0</v>
      </c>
      <c r="H690" s="140">
        <v>0</v>
      </c>
      <c r="I690" s="142">
        <v>0</v>
      </c>
      <c r="J690" s="141">
        <v>0</v>
      </c>
      <c r="K690" s="141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</row>
    <row r="691" spans="1:28" ht="14.25" x14ac:dyDescent="0.2">
      <c r="C691" s="35" t="s">
        <v>158</v>
      </c>
      <c r="D691" s="3"/>
      <c r="E691" s="139">
        <v>0</v>
      </c>
      <c r="F691" s="139">
        <v>0</v>
      </c>
      <c r="G691" s="140"/>
      <c r="H691" s="140"/>
      <c r="I691" s="140">
        <v>0</v>
      </c>
      <c r="J691" s="139">
        <v>0</v>
      </c>
      <c r="K691" s="139">
        <v>0</v>
      </c>
    </row>
    <row r="692" spans="1:28" ht="99.75" x14ac:dyDescent="0.2">
      <c r="A692" s="149" t="s">
        <v>286</v>
      </c>
      <c r="B692" s="149" t="s">
        <v>1993</v>
      </c>
      <c r="C692" s="145" t="s">
        <v>614</v>
      </c>
      <c r="D692" s="3">
        <v>3</v>
      </c>
      <c r="E692" s="141">
        <v>68.7</v>
      </c>
      <c r="F692" s="141">
        <v>0</v>
      </c>
      <c r="G692" s="140">
        <v>206</v>
      </c>
      <c r="H692" s="140">
        <v>0</v>
      </c>
      <c r="I692" s="142">
        <v>0</v>
      </c>
      <c r="J692" s="141">
        <v>0</v>
      </c>
      <c r="K692" s="141">
        <v>0</v>
      </c>
      <c r="T692">
        <v>206</v>
      </c>
      <c r="U692">
        <v>206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</row>
    <row r="693" spans="1:28" ht="14.25" x14ac:dyDescent="0.2">
      <c r="C693" s="35" t="s">
        <v>158</v>
      </c>
      <c r="D693" s="3"/>
      <c r="E693" s="139">
        <v>0</v>
      </c>
      <c r="F693" s="139">
        <v>0</v>
      </c>
      <c r="G693" s="140"/>
      <c r="H693" s="140"/>
      <c r="I693" s="140">
        <v>0</v>
      </c>
      <c r="J693" s="139">
        <v>0</v>
      </c>
      <c r="K693" s="139">
        <v>0</v>
      </c>
    </row>
    <row r="694" spans="1:28" ht="85.5" x14ac:dyDescent="0.2">
      <c r="A694" s="149" t="s">
        <v>287</v>
      </c>
      <c r="B694" s="149" t="s">
        <v>1994</v>
      </c>
      <c r="C694" s="145" t="s">
        <v>615</v>
      </c>
      <c r="D694" s="3">
        <v>5.6000000000000001E-2</v>
      </c>
      <c r="E694" s="141">
        <v>270.82</v>
      </c>
      <c r="F694" s="141">
        <v>23.45</v>
      </c>
      <c r="G694" s="140">
        <v>15</v>
      </c>
      <c r="H694" s="140">
        <v>14</v>
      </c>
      <c r="I694" s="142">
        <v>1</v>
      </c>
      <c r="J694" s="141">
        <v>29</v>
      </c>
      <c r="K694" s="141">
        <v>1.6240000000000001</v>
      </c>
      <c r="T694">
        <v>34</v>
      </c>
      <c r="U694">
        <v>0</v>
      </c>
      <c r="V694">
        <v>14</v>
      </c>
      <c r="W694">
        <v>1</v>
      </c>
      <c r="X694">
        <v>1</v>
      </c>
      <c r="Y694">
        <v>1.6240000000000001</v>
      </c>
      <c r="Z694">
        <v>4.2000000000000003E-2</v>
      </c>
      <c r="AA694">
        <v>11</v>
      </c>
      <c r="AB694">
        <v>8</v>
      </c>
    </row>
    <row r="695" spans="1:28" ht="14.25" x14ac:dyDescent="0.2">
      <c r="C695" s="35" t="s">
        <v>97</v>
      </c>
      <c r="D695" s="3"/>
      <c r="E695" s="139">
        <v>247.37</v>
      </c>
      <c r="F695" s="139">
        <v>10.130000000000001</v>
      </c>
      <c r="G695" s="140"/>
      <c r="H695" s="140"/>
      <c r="I695" s="140">
        <v>1</v>
      </c>
      <c r="J695" s="139">
        <v>0.75</v>
      </c>
      <c r="K695" s="139">
        <v>4.2000000000000003E-2</v>
      </c>
    </row>
    <row r="696" spans="1:28" x14ac:dyDescent="0.2">
      <c r="C696" s="36" t="s">
        <v>616</v>
      </c>
    </row>
    <row r="697" spans="1:28" x14ac:dyDescent="0.2">
      <c r="C697" s="20" t="s">
        <v>89</v>
      </c>
      <c r="D697" s="37">
        <v>74</v>
      </c>
      <c r="E697" s="144">
        <v>190.55</v>
      </c>
      <c r="F697" s="37"/>
      <c r="G697" s="143">
        <v>11</v>
      </c>
      <c r="H697" s="37" t="s">
        <v>213</v>
      </c>
      <c r="I697" s="37"/>
      <c r="J697" s="37"/>
      <c r="K697" s="37"/>
    </row>
    <row r="698" spans="1:28" x14ac:dyDescent="0.2">
      <c r="C698" s="20" t="s">
        <v>92</v>
      </c>
      <c r="D698" s="37">
        <v>50</v>
      </c>
      <c r="E698" s="144">
        <v>128.75</v>
      </c>
      <c r="F698" s="37"/>
      <c r="G698" s="143">
        <v>8</v>
      </c>
      <c r="H698" s="37" t="s">
        <v>185</v>
      </c>
      <c r="I698" s="37"/>
      <c r="J698" s="37"/>
      <c r="K698" s="37"/>
    </row>
    <row r="699" spans="1:28" x14ac:dyDescent="0.2">
      <c r="C699" s="20" t="s">
        <v>95</v>
      </c>
      <c r="D699" s="37"/>
      <c r="E699" s="144">
        <v>590.12</v>
      </c>
      <c r="F699" s="37"/>
      <c r="G699" s="143">
        <v>34</v>
      </c>
      <c r="H699" s="37"/>
      <c r="I699" s="37"/>
      <c r="J699" s="37"/>
      <c r="K699" s="37"/>
    </row>
    <row r="701" spans="1:28" ht="15" x14ac:dyDescent="0.25">
      <c r="A701" s="4"/>
      <c r="B701" s="4"/>
      <c r="C701" s="187" t="s">
        <v>617</v>
      </c>
      <c r="D701" s="187"/>
      <c r="E701" s="187"/>
      <c r="F701" s="187"/>
      <c r="G701" s="136">
        <f>IF(SUM(T671:T700)=0, "-", SUM(T671:T700))</f>
        <v>4295</v>
      </c>
      <c r="H701" s="136">
        <f>IF(SUM(V671:V700)=0, "-", SUM(V671:V700))</f>
        <v>347</v>
      </c>
      <c r="I701" s="138">
        <f>IF(SUM(W671:W700)=0, "-", SUM(W671:W700))</f>
        <v>33</v>
      </c>
      <c r="J701" s="136"/>
      <c r="K701" s="137">
        <f>IF(SUM(Y671:Y700)=0, "-", SUM(Y671:Y700))</f>
        <v>39.663872499999997</v>
      </c>
    </row>
    <row r="702" spans="1:28" ht="15" x14ac:dyDescent="0.25">
      <c r="A702" s="4"/>
      <c r="B702" s="4"/>
      <c r="C702" s="4"/>
      <c r="D702" s="4"/>
      <c r="E702" s="4"/>
      <c r="F702" s="4"/>
      <c r="G702" s="136"/>
      <c r="H702" s="136"/>
      <c r="I702" s="136">
        <f>IF(SUM(X671:X700)=0, "-", SUM(X671:X700))</f>
        <v>4</v>
      </c>
      <c r="J702" s="136"/>
      <c r="K702" s="135">
        <f>IF(SUM(Z671:Z700)=0, "-", SUM(Z671:Z700))</f>
        <v>0.34416374999999994</v>
      </c>
    </row>
    <row r="705" spans="1:28" ht="14.25" x14ac:dyDescent="0.2">
      <c r="C705" s="183" t="s">
        <v>127</v>
      </c>
      <c r="D705" s="183"/>
      <c r="E705" s="183"/>
      <c r="F705" s="183"/>
      <c r="G705" s="183"/>
      <c r="H705" s="172">
        <v>347</v>
      </c>
      <c r="I705" s="172"/>
    </row>
    <row r="706" spans="1:28" ht="14.25" x14ac:dyDescent="0.2">
      <c r="C706" s="183" t="s">
        <v>128</v>
      </c>
      <c r="D706" s="183"/>
      <c r="E706" s="183"/>
      <c r="F706" s="183"/>
      <c r="G706" s="183"/>
      <c r="H706" s="172">
        <v>33</v>
      </c>
      <c r="I706" s="172"/>
    </row>
    <row r="707" spans="1:28" ht="14.25" x14ac:dyDescent="0.2">
      <c r="C707" s="183" t="s">
        <v>129</v>
      </c>
      <c r="D707" s="183"/>
      <c r="E707" s="183"/>
      <c r="F707" s="183"/>
      <c r="G707" s="183"/>
      <c r="H707" s="172">
        <v>3272</v>
      </c>
      <c r="I707" s="172"/>
    </row>
    <row r="708" spans="1:28" ht="14.25" x14ac:dyDescent="0.2">
      <c r="C708" s="183" t="s">
        <v>130</v>
      </c>
      <c r="D708" s="183"/>
      <c r="E708" s="183"/>
      <c r="F708" s="183"/>
      <c r="G708" s="183"/>
      <c r="H708" s="172">
        <v>398</v>
      </c>
      <c r="I708" s="172"/>
    </row>
    <row r="709" spans="1:28" ht="14.25" x14ac:dyDescent="0.2">
      <c r="C709" s="183" t="s">
        <v>131</v>
      </c>
      <c r="D709" s="183"/>
      <c r="E709" s="183"/>
      <c r="F709" s="183"/>
      <c r="G709" s="183"/>
      <c r="H709" s="172">
        <v>245</v>
      </c>
      <c r="I709" s="172"/>
    </row>
    <row r="710" spans="1:28" ht="14.25" x14ac:dyDescent="0.2">
      <c r="C710" s="183" t="s">
        <v>134</v>
      </c>
      <c r="D710" s="183"/>
      <c r="E710" s="183"/>
      <c r="F710" s="183"/>
      <c r="G710" s="183"/>
      <c r="H710" s="172">
        <v>4295</v>
      </c>
      <c r="I710" s="172"/>
    </row>
    <row r="712" spans="1:28" ht="16.5" x14ac:dyDescent="0.25">
      <c r="A712" s="186" t="s">
        <v>618</v>
      </c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</row>
    <row r="713" spans="1:28" ht="105" x14ac:dyDescent="0.2">
      <c r="A713" s="149" t="s">
        <v>288</v>
      </c>
      <c r="B713" s="149" t="s">
        <v>1975</v>
      </c>
      <c r="C713" s="145" t="s">
        <v>1892</v>
      </c>
      <c r="D713" s="3">
        <v>2</v>
      </c>
      <c r="E713" s="141">
        <v>35.11</v>
      </c>
      <c r="F713" s="141">
        <v>3.57</v>
      </c>
      <c r="G713" s="140">
        <v>71</v>
      </c>
      <c r="H713" s="140">
        <v>55</v>
      </c>
      <c r="I713" s="142">
        <v>7</v>
      </c>
      <c r="J713" s="141">
        <v>3.199875</v>
      </c>
      <c r="K713" s="141">
        <v>6.39975</v>
      </c>
      <c r="T713">
        <v>173</v>
      </c>
      <c r="U713">
        <v>9</v>
      </c>
      <c r="V713">
        <v>55</v>
      </c>
      <c r="W713">
        <v>7</v>
      </c>
      <c r="X713">
        <v>0</v>
      </c>
      <c r="Y713">
        <v>6.39975</v>
      </c>
      <c r="Z713">
        <v>2.6250000000000002E-2</v>
      </c>
      <c r="AA713">
        <v>63</v>
      </c>
      <c r="AB713">
        <v>39</v>
      </c>
    </row>
    <row r="714" spans="1:28" ht="14.25" x14ac:dyDescent="0.2">
      <c r="C714" s="35" t="s">
        <v>158</v>
      </c>
      <c r="D714" s="3"/>
      <c r="E714" s="139">
        <v>27.29</v>
      </c>
      <c r="F714" s="139">
        <v>0.16</v>
      </c>
      <c r="G714" s="140"/>
      <c r="H714" s="140"/>
      <c r="I714" s="140">
        <v>0</v>
      </c>
      <c r="J714" s="139">
        <v>1.3125000000000001E-2</v>
      </c>
      <c r="K714" s="139">
        <v>2.6250000000000002E-2</v>
      </c>
    </row>
    <row r="715" spans="1:28" x14ac:dyDescent="0.2">
      <c r="C715" s="20" t="s">
        <v>89</v>
      </c>
      <c r="D715" s="37">
        <v>128</v>
      </c>
      <c r="E715" s="144">
        <v>31.622399999999999</v>
      </c>
      <c r="F715" s="37" t="s">
        <v>330</v>
      </c>
      <c r="G715" s="143">
        <v>63</v>
      </c>
      <c r="H715" s="37" t="s">
        <v>331</v>
      </c>
      <c r="I715" s="37"/>
      <c r="J715" s="37"/>
      <c r="K715" s="37"/>
    </row>
    <row r="716" spans="1:28" x14ac:dyDescent="0.2">
      <c r="C716" s="20" t="s">
        <v>92</v>
      </c>
      <c r="D716" s="37">
        <v>83</v>
      </c>
      <c r="E716" s="144">
        <v>19.365974999999999</v>
      </c>
      <c r="F716" s="37" t="s">
        <v>332</v>
      </c>
      <c r="G716" s="143">
        <v>39</v>
      </c>
      <c r="H716" s="37" t="s">
        <v>333</v>
      </c>
      <c r="I716" s="37"/>
      <c r="J716" s="37"/>
      <c r="K716" s="37"/>
    </row>
    <row r="717" spans="1:28" x14ac:dyDescent="0.2">
      <c r="C717" s="20" t="s">
        <v>95</v>
      </c>
      <c r="D717" s="37"/>
      <c r="E717" s="144">
        <v>86.098375000000004</v>
      </c>
      <c r="F717" s="37"/>
      <c r="G717" s="143">
        <v>173</v>
      </c>
      <c r="H717" s="37"/>
      <c r="I717" s="37"/>
      <c r="J717" s="37"/>
      <c r="K717" s="37"/>
    </row>
    <row r="718" spans="1:28" ht="14.25" x14ac:dyDescent="0.2">
      <c r="A718" s="149" t="s">
        <v>1976</v>
      </c>
      <c r="B718" s="149" t="s">
        <v>1146</v>
      </c>
      <c r="C718" s="145" t="s">
        <v>619</v>
      </c>
      <c r="D718" s="3">
        <v>2</v>
      </c>
      <c r="E718" s="141">
        <v>0</v>
      </c>
      <c r="F718" s="141">
        <v>0</v>
      </c>
      <c r="G718" s="140">
        <v>0</v>
      </c>
      <c r="H718" s="140">
        <v>0</v>
      </c>
      <c r="I718" s="142">
        <v>0</v>
      </c>
      <c r="J718" s="141">
        <v>0</v>
      </c>
      <c r="K718" s="141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</row>
    <row r="719" spans="1:28" ht="14.25" x14ac:dyDescent="0.2">
      <c r="C719" s="35" t="s">
        <v>158</v>
      </c>
      <c r="D719" s="3"/>
      <c r="E719" s="139">
        <v>0</v>
      </c>
      <c r="F719" s="139">
        <v>0</v>
      </c>
      <c r="G719" s="140"/>
      <c r="H719" s="140"/>
      <c r="I719" s="140">
        <v>0</v>
      </c>
      <c r="J719" s="139">
        <v>0</v>
      </c>
      <c r="K719" s="139">
        <v>0</v>
      </c>
    </row>
    <row r="720" spans="1:28" ht="99.75" x14ac:dyDescent="0.2">
      <c r="A720" s="149" t="s">
        <v>289</v>
      </c>
      <c r="B720" s="149" t="s">
        <v>1977</v>
      </c>
      <c r="C720" s="145" t="s">
        <v>620</v>
      </c>
      <c r="D720" s="3">
        <v>2</v>
      </c>
      <c r="E720" s="141">
        <v>134.30000000000001</v>
      </c>
      <c r="F720" s="141">
        <v>0</v>
      </c>
      <c r="G720" s="140">
        <v>269</v>
      </c>
      <c r="H720" s="140">
        <v>0</v>
      </c>
      <c r="I720" s="142">
        <v>0</v>
      </c>
      <c r="J720" s="141">
        <v>0</v>
      </c>
      <c r="K720" s="141">
        <v>0</v>
      </c>
      <c r="T720">
        <v>269</v>
      </c>
      <c r="U720">
        <v>269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</row>
    <row r="721" spans="1:28" ht="14.25" x14ac:dyDescent="0.2">
      <c r="C721" s="35" t="s">
        <v>158</v>
      </c>
      <c r="D721" s="3"/>
      <c r="E721" s="139">
        <v>0</v>
      </c>
      <c r="F721" s="139">
        <v>0</v>
      </c>
      <c r="G721" s="140"/>
      <c r="H721" s="140"/>
      <c r="I721" s="140">
        <v>0</v>
      </c>
      <c r="J721" s="139">
        <v>0</v>
      </c>
      <c r="K721" s="139">
        <v>0</v>
      </c>
    </row>
    <row r="722" spans="1:28" ht="54" x14ac:dyDescent="0.2">
      <c r="A722" s="149" t="s">
        <v>290</v>
      </c>
      <c r="B722" s="149" t="s">
        <v>1146</v>
      </c>
      <c r="C722" s="145" t="s">
        <v>1891</v>
      </c>
      <c r="D722" s="3">
        <v>4</v>
      </c>
      <c r="E722" s="141">
        <v>37235.839999999997</v>
      </c>
      <c r="F722" s="141">
        <v>0</v>
      </c>
      <c r="G722" s="140">
        <v>148943</v>
      </c>
      <c r="H722" s="140">
        <v>0</v>
      </c>
      <c r="I722" s="142">
        <v>0</v>
      </c>
      <c r="J722" s="141">
        <v>0</v>
      </c>
      <c r="K722" s="141">
        <v>0</v>
      </c>
      <c r="T722">
        <v>148943</v>
      </c>
      <c r="U722">
        <v>148943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</row>
    <row r="723" spans="1:28" ht="14.25" x14ac:dyDescent="0.2">
      <c r="C723" s="35" t="s">
        <v>527</v>
      </c>
      <c r="D723" s="3"/>
      <c r="E723" s="139">
        <v>0</v>
      </c>
      <c r="F723" s="139">
        <v>0</v>
      </c>
      <c r="G723" s="140"/>
      <c r="H723" s="140"/>
      <c r="I723" s="140">
        <v>0</v>
      </c>
      <c r="J723" s="139">
        <v>0</v>
      </c>
      <c r="K723" s="139">
        <v>0</v>
      </c>
    </row>
    <row r="724" spans="1:28" ht="133.5" x14ac:dyDescent="0.2">
      <c r="A724" s="149" t="s">
        <v>291</v>
      </c>
      <c r="B724" s="149" t="s">
        <v>1978</v>
      </c>
      <c r="C724" s="145" t="s">
        <v>1890</v>
      </c>
      <c r="D724" s="3">
        <v>6.0999999999999999E-2</v>
      </c>
      <c r="E724" s="141">
        <v>2214.02</v>
      </c>
      <c r="F724" s="141">
        <v>154.12</v>
      </c>
      <c r="G724" s="140">
        <v>135</v>
      </c>
      <c r="H724" s="140">
        <v>99</v>
      </c>
      <c r="I724" s="142">
        <v>9</v>
      </c>
      <c r="J724" s="141">
        <v>185.95500000000001</v>
      </c>
      <c r="K724" s="141">
        <v>11.343255000000001</v>
      </c>
      <c r="T724">
        <v>321</v>
      </c>
      <c r="U724">
        <v>27</v>
      </c>
      <c r="V724">
        <v>99</v>
      </c>
      <c r="W724">
        <v>9</v>
      </c>
      <c r="X724">
        <v>1</v>
      </c>
      <c r="Y724">
        <v>11.343255000000001</v>
      </c>
      <c r="Z724">
        <v>9.6075000000000008E-2</v>
      </c>
      <c r="AA724">
        <v>115</v>
      </c>
      <c r="AB724">
        <v>71</v>
      </c>
    </row>
    <row r="725" spans="1:28" ht="14.25" x14ac:dyDescent="0.2">
      <c r="C725" s="35" t="s">
        <v>97</v>
      </c>
      <c r="D725" s="3"/>
      <c r="E725" s="139">
        <v>1625.25</v>
      </c>
      <c r="F725" s="139">
        <v>19.46</v>
      </c>
      <c r="G725" s="140"/>
      <c r="H725" s="140"/>
      <c r="I725" s="140">
        <v>1</v>
      </c>
      <c r="J725" s="139">
        <v>1.5750000000000002</v>
      </c>
      <c r="K725" s="139">
        <v>9.6075000000000008E-2</v>
      </c>
    </row>
    <row r="726" spans="1:28" x14ac:dyDescent="0.2">
      <c r="C726" s="36" t="s">
        <v>1979</v>
      </c>
    </row>
    <row r="727" spans="1:28" x14ac:dyDescent="0.2">
      <c r="C727" s="20" t="s">
        <v>89</v>
      </c>
      <c r="D727" s="37">
        <v>128</v>
      </c>
      <c r="E727" s="144">
        <v>1894.7059200000001</v>
      </c>
      <c r="F727" s="37" t="s">
        <v>330</v>
      </c>
      <c r="G727" s="143">
        <v>115</v>
      </c>
      <c r="H727" s="37" t="s">
        <v>331</v>
      </c>
      <c r="I727" s="37"/>
      <c r="J727" s="37"/>
      <c r="K727" s="37"/>
    </row>
    <row r="728" spans="1:28" x14ac:dyDescent="0.2">
      <c r="C728" s="20" t="s">
        <v>92</v>
      </c>
      <c r="D728" s="37">
        <v>83</v>
      </c>
      <c r="E728" s="144">
        <v>1160.342905</v>
      </c>
      <c r="F728" s="37" t="s">
        <v>332</v>
      </c>
      <c r="G728" s="143">
        <v>71</v>
      </c>
      <c r="H728" s="37" t="s">
        <v>333</v>
      </c>
      <c r="I728" s="37"/>
      <c r="J728" s="37"/>
      <c r="K728" s="37"/>
    </row>
    <row r="729" spans="1:28" x14ac:dyDescent="0.2">
      <c r="C729" s="20" t="s">
        <v>95</v>
      </c>
      <c r="D729" s="37"/>
      <c r="E729" s="144">
        <v>5269.0688250000003</v>
      </c>
      <c r="F729" s="37"/>
      <c r="G729" s="143">
        <v>321</v>
      </c>
      <c r="H729" s="37"/>
      <c r="I729" s="37"/>
      <c r="J729" s="37"/>
      <c r="K729" s="37"/>
    </row>
    <row r="730" spans="1:28" ht="14.25" x14ac:dyDescent="0.2">
      <c r="A730" s="149" t="s">
        <v>1980</v>
      </c>
      <c r="B730" s="149" t="s">
        <v>1146</v>
      </c>
      <c r="C730" s="145" t="s">
        <v>535</v>
      </c>
      <c r="D730" s="3">
        <v>6.1</v>
      </c>
      <c r="E730" s="141">
        <v>0</v>
      </c>
      <c r="F730" s="141">
        <v>0</v>
      </c>
      <c r="G730" s="140">
        <v>0</v>
      </c>
      <c r="H730" s="140">
        <v>0</v>
      </c>
      <c r="I730" s="142">
        <v>0</v>
      </c>
      <c r="J730" s="141">
        <v>0</v>
      </c>
      <c r="K730" s="141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</row>
    <row r="731" spans="1:28" ht="14.25" x14ac:dyDescent="0.2">
      <c r="C731" s="35" t="s">
        <v>117</v>
      </c>
      <c r="D731" s="3"/>
      <c r="E731" s="139">
        <v>0</v>
      </c>
      <c r="F731" s="139">
        <v>0</v>
      </c>
      <c r="G731" s="140"/>
      <c r="H731" s="140"/>
      <c r="I731" s="140">
        <v>0</v>
      </c>
      <c r="J731" s="139">
        <v>0</v>
      </c>
      <c r="K731" s="139">
        <v>0</v>
      </c>
    </row>
    <row r="732" spans="1:28" ht="99.75" x14ac:dyDescent="0.2">
      <c r="A732" s="149" t="s">
        <v>292</v>
      </c>
      <c r="B732" s="149" t="s">
        <v>1981</v>
      </c>
      <c r="C732" s="145" t="s">
        <v>621</v>
      </c>
      <c r="D732" s="3">
        <v>3.8</v>
      </c>
      <c r="E732" s="141">
        <v>76.989999999999995</v>
      </c>
      <c r="F732" s="141">
        <v>0</v>
      </c>
      <c r="G732" s="140">
        <v>293</v>
      </c>
      <c r="H732" s="140">
        <v>0</v>
      </c>
      <c r="I732" s="142">
        <v>0</v>
      </c>
      <c r="J732" s="141">
        <v>0</v>
      </c>
      <c r="K732" s="141">
        <v>0</v>
      </c>
      <c r="T732">
        <v>293</v>
      </c>
      <c r="U732">
        <v>293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</row>
    <row r="733" spans="1:28" ht="14.25" x14ac:dyDescent="0.2">
      <c r="C733" s="35" t="s">
        <v>117</v>
      </c>
      <c r="D733" s="3"/>
      <c r="E733" s="139">
        <v>0</v>
      </c>
      <c r="F733" s="139">
        <v>0</v>
      </c>
      <c r="G733" s="140"/>
      <c r="H733" s="140"/>
      <c r="I733" s="140">
        <v>0</v>
      </c>
      <c r="J733" s="139">
        <v>0</v>
      </c>
      <c r="K733" s="139">
        <v>0</v>
      </c>
    </row>
    <row r="734" spans="1:28" ht="99.75" x14ac:dyDescent="0.2">
      <c r="A734" s="149" t="s">
        <v>293</v>
      </c>
      <c r="B734" s="149" t="s">
        <v>1982</v>
      </c>
      <c r="C734" s="145" t="s">
        <v>595</v>
      </c>
      <c r="D734" s="3">
        <v>2.2799999999999998</v>
      </c>
      <c r="E734" s="141">
        <v>185.53</v>
      </c>
      <c r="F734" s="141">
        <v>0</v>
      </c>
      <c r="G734" s="140">
        <v>423</v>
      </c>
      <c r="H734" s="140">
        <v>0</v>
      </c>
      <c r="I734" s="142">
        <v>0</v>
      </c>
      <c r="J734" s="141">
        <v>0</v>
      </c>
      <c r="K734" s="141">
        <v>0</v>
      </c>
      <c r="T734">
        <v>423</v>
      </c>
      <c r="U734">
        <v>423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</row>
    <row r="735" spans="1:28" ht="14.25" x14ac:dyDescent="0.2">
      <c r="C735" s="35" t="s">
        <v>117</v>
      </c>
      <c r="D735" s="3"/>
      <c r="E735" s="139">
        <v>0</v>
      </c>
      <c r="F735" s="139">
        <v>0</v>
      </c>
      <c r="G735" s="140"/>
      <c r="H735" s="140"/>
      <c r="I735" s="140">
        <v>0</v>
      </c>
      <c r="J735" s="139">
        <v>0</v>
      </c>
      <c r="K735" s="139">
        <v>0</v>
      </c>
    </row>
    <row r="736" spans="1:28" x14ac:dyDescent="0.2">
      <c r="C736" s="36" t="s">
        <v>622</v>
      </c>
    </row>
    <row r="737" spans="1:28" ht="133.5" x14ac:dyDescent="0.2">
      <c r="A737" s="149" t="s">
        <v>294</v>
      </c>
      <c r="B737" s="149" t="s">
        <v>1983</v>
      </c>
      <c r="C737" s="145" t="s">
        <v>1889</v>
      </c>
      <c r="D737" s="3">
        <v>7.9000000000000001E-2</v>
      </c>
      <c r="E737" s="141">
        <v>2130.12</v>
      </c>
      <c r="F737" s="141">
        <v>147.62</v>
      </c>
      <c r="G737" s="140">
        <v>168</v>
      </c>
      <c r="H737" s="140">
        <v>122</v>
      </c>
      <c r="I737" s="142">
        <v>12</v>
      </c>
      <c r="J737" s="141">
        <v>177.1</v>
      </c>
      <c r="K737" s="141">
        <v>13.9909</v>
      </c>
      <c r="T737">
        <v>397</v>
      </c>
      <c r="U737">
        <v>34</v>
      </c>
      <c r="V737">
        <v>122</v>
      </c>
      <c r="W737">
        <v>12</v>
      </c>
      <c r="X737">
        <v>1</v>
      </c>
      <c r="Y737">
        <v>13.9909</v>
      </c>
      <c r="Z737">
        <v>0.1194875</v>
      </c>
      <c r="AA737">
        <v>142</v>
      </c>
      <c r="AB737">
        <v>87</v>
      </c>
    </row>
    <row r="738" spans="1:28" ht="14.25" x14ac:dyDescent="0.2">
      <c r="C738" s="35" t="s">
        <v>97</v>
      </c>
      <c r="D738" s="3"/>
      <c r="E738" s="139">
        <v>1547.85</v>
      </c>
      <c r="F738" s="139">
        <v>18.690000000000001</v>
      </c>
      <c r="G738" s="140"/>
      <c r="H738" s="140"/>
      <c r="I738" s="140">
        <v>1</v>
      </c>
      <c r="J738" s="139">
        <v>1.5125</v>
      </c>
      <c r="K738" s="139">
        <v>0.1194875</v>
      </c>
    </row>
    <row r="739" spans="1:28" x14ac:dyDescent="0.2">
      <c r="C739" s="36" t="s">
        <v>623</v>
      </c>
    </row>
    <row r="740" spans="1:28" x14ac:dyDescent="0.2">
      <c r="C740" s="20" t="s">
        <v>89</v>
      </c>
      <c r="D740" s="37">
        <v>128</v>
      </c>
      <c r="E740" s="144">
        <v>1804.65408</v>
      </c>
      <c r="F740" s="37" t="s">
        <v>330</v>
      </c>
      <c r="G740" s="143">
        <v>142</v>
      </c>
      <c r="H740" s="37" t="s">
        <v>331</v>
      </c>
      <c r="I740" s="37"/>
      <c r="J740" s="37"/>
      <c r="K740" s="37"/>
    </row>
    <row r="741" spans="1:28" x14ac:dyDescent="0.2">
      <c r="C741" s="20" t="s">
        <v>92</v>
      </c>
      <c r="D741" s="37">
        <v>83</v>
      </c>
      <c r="E741" s="144">
        <v>1105.19397</v>
      </c>
      <c r="F741" s="37" t="s">
        <v>332</v>
      </c>
      <c r="G741" s="143">
        <v>87</v>
      </c>
      <c r="H741" s="37" t="s">
        <v>333</v>
      </c>
      <c r="I741" s="37"/>
      <c r="J741" s="37"/>
      <c r="K741" s="37"/>
    </row>
    <row r="742" spans="1:28" x14ac:dyDescent="0.2">
      <c r="C742" s="20" t="s">
        <v>95</v>
      </c>
      <c r="D742" s="37"/>
      <c r="E742" s="144">
        <v>5039.9680499999995</v>
      </c>
      <c r="F742" s="37"/>
      <c r="G742" s="143">
        <v>397</v>
      </c>
      <c r="H742" s="37"/>
      <c r="I742" s="37"/>
      <c r="J742" s="37"/>
      <c r="K742" s="37"/>
    </row>
    <row r="743" spans="1:28" ht="14.25" x14ac:dyDescent="0.2">
      <c r="A743" s="149" t="s">
        <v>1984</v>
      </c>
      <c r="B743" s="149" t="s">
        <v>1146</v>
      </c>
      <c r="C743" s="145" t="s">
        <v>535</v>
      </c>
      <c r="D743" s="3">
        <v>7.9</v>
      </c>
      <c r="E743" s="141">
        <v>0</v>
      </c>
      <c r="F743" s="141">
        <v>0</v>
      </c>
      <c r="G743" s="140">
        <v>0</v>
      </c>
      <c r="H743" s="140">
        <v>0</v>
      </c>
      <c r="I743" s="142">
        <v>0</v>
      </c>
      <c r="J743" s="141">
        <v>0</v>
      </c>
      <c r="K743" s="141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</row>
    <row r="744" spans="1:28" ht="14.25" x14ac:dyDescent="0.2">
      <c r="C744" s="35" t="s">
        <v>117</v>
      </c>
      <c r="D744" s="3"/>
      <c r="E744" s="139">
        <v>0</v>
      </c>
      <c r="F744" s="139">
        <v>0</v>
      </c>
      <c r="G744" s="140"/>
      <c r="H744" s="140"/>
      <c r="I744" s="140">
        <v>0</v>
      </c>
      <c r="J744" s="139">
        <v>0</v>
      </c>
      <c r="K744" s="139">
        <v>0</v>
      </c>
    </row>
    <row r="745" spans="1:28" ht="99.75" x14ac:dyDescent="0.2">
      <c r="A745" s="149" t="s">
        <v>295</v>
      </c>
      <c r="B745" s="149" t="s">
        <v>1985</v>
      </c>
      <c r="C745" s="145" t="s">
        <v>607</v>
      </c>
      <c r="D745" s="3">
        <v>7.9</v>
      </c>
      <c r="E745" s="141">
        <v>75.72</v>
      </c>
      <c r="F745" s="141">
        <v>0</v>
      </c>
      <c r="G745" s="140">
        <v>598</v>
      </c>
      <c r="H745" s="140">
        <v>0</v>
      </c>
      <c r="I745" s="142">
        <v>0</v>
      </c>
      <c r="J745" s="141">
        <v>0</v>
      </c>
      <c r="K745" s="141">
        <v>0</v>
      </c>
      <c r="T745">
        <v>598</v>
      </c>
      <c r="U745">
        <v>598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</row>
    <row r="746" spans="1:28" ht="14.25" x14ac:dyDescent="0.2">
      <c r="C746" s="35" t="s">
        <v>117</v>
      </c>
      <c r="D746" s="3"/>
      <c r="E746" s="139">
        <v>0</v>
      </c>
      <c r="F746" s="139">
        <v>0</v>
      </c>
      <c r="G746" s="140"/>
      <c r="H746" s="140"/>
      <c r="I746" s="140">
        <v>0</v>
      </c>
      <c r="J746" s="139">
        <v>0</v>
      </c>
      <c r="K746" s="139">
        <v>0</v>
      </c>
    </row>
    <row r="747" spans="1:28" ht="99.75" x14ac:dyDescent="0.2">
      <c r="A747" s="149" t="s">
        <v>296</v>
      </c>
      <c r="B747" s="149" t="s">
        <v>1986</v>
      </c>
      <c r="C747" s="145" t="s">
        <v>548</v>
      </c>
      <c r="D747" s="3">
        <v>8.0000000000000002E-3</v>
      </c>
      <c r="E747" s="141">
        <v>12676.79</v>
      </c>
      <c r="F747" s="141">
        <v>0</v>
      </c>
      <c r="G747" s="140">
        <v>101</v>
      </c>
      <c r="H747" s="140">
        <v>0</v>
      </c>
      <c r="I747" s="142">
        <v>0</v>
      </c>
      <c r="J747" s="141">
        <v>0</v>
      </c>
      <c r="K747" s="141">
        <v>0</v>
      </c>
      <c r="T747">
        <v>101</v>
      </c>
      <c r="U747">
        <v>101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</row>
    <row r="748" spans="1:28" ht="14.25" x14ac:dyDescent="0.2">
      <c r="C748" s="35" t="s">
        <v>99</v>
      </c>
      <c r="D748" s="3"/>
      <c r="E748" s="139">
        <v>0</v>
      </c>
      <c r="F748" s="139">
        <v>0</v>
      </c>
      <c r="G748" s="140"/>
      <c r="H748" s="140"/>
      <c r="I748" s="140">
        <v>0</v>
      </c>
      <c r="J748" s="139">
        <v>0</v>
      </c>
      <c r="K748" s="139">
        <v>0</v>
      </c>
    </row>
    <row r="749" spans="1:28" x14ac:dyDescent="0.2">
      <c r="C749" s="36" t="s">
        <v>584</v>
      </c>
    </row>
    <row r="751" spans="1:28" ht="15" x14ac:dyDescent="0.25">
      <c r="A751" s="4"/>
      <c r="B751" s="4"/>
      <c r="C751" s="187" t="s">
        <v>625</v>
      </c>
      <c r="D751" s="187"/>
      <c r="E751" s="187"/>
      <c r="F751" s="187"/>
      <c r="G751" s="136">
        <f>IF(SUM(T712:T750)=0, "-", SUM(T712:T750))</f>
        <v>151518</v>
      </c>
      <c r="H751" s="136">
        <f>IF(SUM(V712:V750)=0, "-", SUM(V712:V750))</f>
        <v>276</v>
      </c>
      <c r="I751" s="138">
        <f>IF(SUM(W712:W750)=0, "-", SUM(W712:W750))</f>
        <v>28</v>
      </c>
      <c r="J751" s="136"/>
      <c r="K751" s="137">
        <f>IF(SUM(Y712:Y750)=0, "-", SUM(Y712:Y750))</f>
        <v>31.733905</v>
      </c>
    </row>
    <row r="752" spans="1:28" ht="15" x14ac:dyDescent="0.25">
      <c r="A752" s="4"/>
      <c r="B752" s="4"/>
      <c r="C752" s="4"/>
      <c r="D752" s="4"/>
      <c r="E752" s="4"/>
      <c r="F752" s="4"/>
      <c r="G752" s="136"/>
      <c r="H752" s="136"/>
      <c r="I752" s="136">
        <f>IF(SUM(X712:X750)=0, "-", SUM(X712:X750))</f>
        <v>2</v>
      </c>
      <c r="J752" s="136"/>
      <c r="K752" s="135">
        <f>IF(SUM(Z712:Z750)=0, "-", SUM(Z712:Z750))</f>
        <v>0.24181250000000001</v>
      </c>
    </row>
    <row r="755" spans="1:28" ht="14.25" x14ac:dyDescent="0.2">
      <c r="C755" s="183" t="s">
        <v>127</v>
      </c>
      <c r="D755" s="183"/>
      <c r="E755" s="183"/>
      <c r="F755" s="183"/>
      <c r="G755" s="183"/>
      <c r="H755" s="172">
        <v>276</v>
      </c>
      <c r="I755" s="172"/>
    </row>
    <row r="756" spans="1:28" ht="14.25" x14ac:dyDescent="0.2">
      <c r="C756" s="183" t="s">
        <v>128</v>
      </c>
      <c r="D756" s="183"/>
      <c r="E756" s="183"/>
      <c r="F756" s="183"/>
      <c r="G756" s="183"/>
      <c r="H756" s="172">
        <v>28</v>
      </c>
      <c r="I756" s="172"/>
    </row>
    <row r="757" spans="1:28" ht="14.25" x14ac:dyDescent="0.2">
      <c r="C757" s="183" t="s">
        <v>129</v>
      </c>
      <c r="D757" s="183"/>
      <c r="E757" s="183"/>
      <c r="F757" s="183"/>
      <c r="G757" s="183"/>
      <c r="H757" s="172">
        <v>150697</v>
      </c>
      <c r="I757" s="172"/>
    </row>
    <row r="758" spans="1:28" ht="14.25" x14ac:dyDescent="0.2">
      <c r="C758" s="183" t="s">
        <v>130</v>
      </c>
      <c r="D758" s="183"/>
      <c r="E758" s="183"/>
      <c r="F758" s="183"/>
      <c r="G758" s="183"/>
      <c r="H758" s="172">
        <v>320</v>
      </c>
      <c r="I758" s="172"/>
    </row>
    <row r="759" spans="1:28" ht="14.25" x14ac:dyDescent="0.2">
      <c r="C759" s="183" t="s">
        <v>131</v>
      </c>
      <c r="D759" s="183"/>
      <c r="E759" s="183"/>
      <c r="F759" s="183"/>
      <c r="G759" s="183"/>
      <c r="H759" s="172">
        <v>197</v>
      </c>
      <c r="I759" s="172"/>
    </row>
    <row r="760" spans="1:28" ht="14.25" x14ac:dyDescent="0.2">
      <c r="C760" s="183" t="s">
        <v>134</v>
      </c>
      <c r="D760" s="183"/>
      <c r="E760" s="183"/>
      <c r="F760" s="183"/>
      <c r="G760" s="183"/>
      <c r="H760" s="172">
        <v>151518</v>
      </c>
      <c r="I760" s="172"/>
    </row>
    <row r="762" spans="1:28" ht="16.5" x14ac:dyDescent="0.25">
      <c r="A762" s="186" t="s">
        <v>626</v>
      </c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</row>
    <row r="763" spans="1:28" ht="119.25" x14ac:dyDescent="0.2">
      <c r="A763" s="149" t="s">
        <v>297</v>
      </c>
      <c r="B763" s="149" t="s">
        <v>1934</v>
      </c>
      <c r="C763" s="145" t="s">
        <v>1888</v>
      </c>
      <c r="D763" s="3">
        <v>0.08</v>
      </c>
      <c r="E763" s="141">
        <v>771.62</v>
      </c>
      <c r="F763" s="141">
        <v>122.19</v>
      </c>
      <c r="G763" s="140">
        <v>62</v>
      </c>
      <c r="H763" s="140">
        <v>50</v>
      </c>
      <c r="I763" s="142">
        <v>10</v>
      </c>
      <c r="J763" s="141">
        <v>63.594999999999992</v>
      </c>
      <c r="K763" s="141">
        <v>5.0875999999999992</v>
      </c>
      <c r="T763">
        <v>157</v>
      </c>
      <c r="U763">
        <v>2</v>
      </c>
      <c r="V763">
        <v>50</v>
      </c>
      <c r="W763">
        <v>10</v>
      </c>
      <c r="X763">
        <v>1</v>
      </c>
      <c r="Y763">
        <v>5.0875999999999992</v>
      </c>
      <c r="Z763">
        <v>0.10600000000000001</v>
      </c>
      <c r="AA763">
        <v>59</v>
      </c>
      <c r="AB763">
        <v>36</v>
      </c>
    </row>
    <row r="764" spans="1:28" ht="14.25" x14ac:dyDescent="0.2">
      <c r="C764" s="35" t="s">
        <v>169</v>
      </c>
      <c r="D764" s="3"/>
      <c r="E764" s="139">
        <v>620.69000000000005</v>
      </c>
      <c r="F764" s="139">
        <v>15.83</v>
      </c>
      <c r="G764" s="140"/>
      <c r="H764" s="140"/>
      <c r="I764" s="140">
        <v>1</v>
      </c>
      <c r="J764" s="139">
        <v>1.3250000000000002</v>
      </c>
      <c r="K764" s="139">
        <v>0.10600000000000001</v>
      </c>
    </row>
    <row r="765" spans="1:28" x14ac:dyDescent="0.2">
      <c r="C765" s="36" t="s">
        <v>429</v>
      </c>
    </row>
    <row r="766" spans="1:28" x14ac:dyDescent="0.2">
      <c r="C766" s="20" t="s">
        <v>89</v>
      </c>
      <c r="D766" s="37">
        <v>128</v>
      </c>
      <c r="E766" s="144">
        <v>733.27104000000008</v>
      </c>
      <c r="F766" s="37" t="s">
        <v>330</v>
      </c>
      <c r="G766" s="143">
        <v>59</v>
      </c>
      <c r="H766" s="37" t="s">
        <v>331</v>
      </c>
      <c r="I766" s="37"/>
      <c r="J766" s="37"/>
      <c r="K766" s="37"/>
    </row>
    <row r="767" spans="1:28" x14ac:dyDescent="0.2">
      <c r="C767" s="20" t="s">
        <v>92</v>
      </c>
      <c r="D767" s="37">
        <v>83</v>
      </c>
      <c r="E767" s="144">
        <v>449.06486000000007</v>
      </c>
      <c r="F767" s="37" t="s">
        <v>332</v>
      </c>
      <c r="G767" s="143">
        <v>36</v>
      </c>
      <c r="H767" s="37" t="s">
        <v>333</v>
      </c>
      <c r="I767" s="37"/>
      <c r="J767" s="37"/>
      <c r="K767" s="37"/>
    </row>
    <row r="768" spans="1:28" x14ac:dyDescent="0.2">
      <c r="C768" s="20" t="s">
        <v>95</v>
      </c>
      <c r="D768" s="37"/>
      <c r="E768" s="144">
        <v>1953.9558999999999</v>
      </c>
      <c r="F768" s="37"/>
      <c r="G768" s="143">
        <v>157</v>
      </c>
      <c r="H768" s="37"/>
      <c r="I768" s="37"/>
      <c r="J768" s="37"/>
      <c r="K768" s="37"/>
    </row>
    <row r="769" spans="1:28" ht="14.25" x14ac:dyDescent="0.2">
      <c r="A769" s="149" t="s">
        <v>1935</v>
      </c>
      <c r="B769" s="149" t="s">
        <v>1146</v>
      </c>
      <c r="C769" s="145" t="s">
        <v>335</v>
      </c>
      <c r="D769" s="3">
        <v>8</v>
      </c>
      <c r="E769" s="141">
        <v>0</v>
      </c>
      <c r="F769" s="141">
        <v>0</v>
      </c>
      <c r="G769" s="140">
        <v>0</v>
      </c>
      <c r="H769" s="140">
        <v>0</v>
      </c>
      <c r="I769" s="142">
        <v>0</v>
      </c>
      <c r="J769" s="141">
        <v>0</v>
      </c>
      <c r="K769" s="141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</row>
    <row r="770" spans="1:28" ht="14.25" x14ac:dyDescent="0.2">
      <c r="C770" s="35" t="s">
        <v>171</v>
      </c>
      <c r="D770" s="3"/>
      <c r="E770" s="139">
        <v>0</v>
      </c>
      <c r="F770" s="139">
        <v>0</v>
      </c>
      <c r="G770" s="140"/>
      <c r="H770" s="140"/>
      <c r="I770" s="140">
        <v>0</v>
      </c>
      <c r="J770" s="139">
        <v>0</v>
      </c>
      <c r="K770" s="139">
        <v>0</v>
      </c>
    </row>
    <row r="771" spans="1:28" ht="99.75" x14ac:dyDescent="0.2">
      <c r="A771" s="149" t="s">
        <v>298</v>
      </c>
      <c r="B771" s="149" t="s">
        <v>1936</v>
      </c>
      <c r="C771" s="145" t="s">
        <v>627</v>
      </c>
      <c r="D771" s="3">
        <v>8</v>
      </c>
      <c r="E771" s="141">
        <v>41.28</v>
      </c>
      <c r="F771" s="141">
        <v>0</v>
      </c>
      <c r="G771" s="140">
        <v>330</v>
      </c>
      <c r="H771" s="140">
        <v>0</v>
      </c>
      <c r="I771" s="142">
        <v>0</v>
      </c>
      <c r="J771" s="141">
        <v>0</v>
      </c>
      <c r="K771" s="141">
        <v>0</v>
      </c>
      <c r="T771">
        <v>330</v>
      </c>
      <c r="U771">
        <v>330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</row>
    <row r="772" spans="1:28" ht="14.25" x14ac:dyDescent="0.2">
      <c r="C772" s="35" t="s">
        <v>171</v>
      </c>
      <c r="D772" s="3"/>
      <c r="E772" s="139">
        <v>0</v>
      </c>
      <c r="F772" s="139">
        <v>0</v>
      </c>
      <c r="G772" s="140"/>
      <c r="H772" s="140"/>
      <c r="I772" s="140">
        <v>0</v>
      </c>
      <c r="J772" s="139">
        <v>0</v>
      </c>
      <c r="K772" s="139">
        <v>0</v>
      </c>
    </row>
    <row r="773" spans="1:28" ht="133.5" x14ac:dyDescent="0.2">
      <c r="A773" s="149" t="s">
        <v>299</v>
      </c>
      <c r="B773" s="149" t="s">
        <v>1937</v>
      </c>
      <c r="C773" s="145" t="s">
        <v>1887</v>
      </c>
      <c r="D773" s="3">
        <v>0.3</v>
      </c>
      <c r="E773" s="141">
        <v>407.98</v>
      </c>
      <c r="F773" s="141">
        <v>49.21</v>
      </c>
      <c r="G773" s="140">
        <v>123</v>
      </c>
      <c r="H773" s="140">
        <v>99</v>
      </c>
      <c r="I773" s="142">
        <v>15</v>
      </c>
      <c r="J773" s="141">
        <v>34.154999999999994</v>
      </c>
      <c r="K773" s="141">
        <v>10.246499999999997</v>
      </c>
      <c r="T773">
        <v>310</v>
      </c>
      <c r="U773">
        <v>9</v>
      </c>
      <c r="V773">
        <v>99</v>
      </c>
      <c r="W773">
        <v>15</v>
      </c>
      <c r="X773">
        <v>2</v>
      </c>
      <c r="Y773">
        <v>10.246499999999997</v>
      </c>
      <c r="Z773">
        <v>0.1875</v>
      </c>
      <c r="AA773">
        <v>116</v>
      </c>
      <c r="AB773">
        <v>71</v>
      </c>
    </row>
    <row r="774" spans="1:28" ht="14.25" x14ac:dyDescent="0.2">
      <c r="C774" s="35" t="s">
        <v>169</v>
      </c>
      <c r="D774" s="3"/>
      <c r="E774" s="139">
        <v>328.57</v>
      </c>
      <c r="F774" s="139">
        <v>7.61</v>
      </c>
      <c r="G774" s="140"/>
      <c r="H774" s="140"/>
      <c r="I774" s="140">
        <v>2</v>
      </c>
      <c r="J774" s="139">
        <v>0.625</v>
      </c>
      <c r="K774" s="139">
        <v>0.1875</v>
      </c>
    </row>
    <row r="775" spans="1:28" x14ac:dyDescent="0.2">
      <c r="C775" s="36" t="s">
        <v>628</v>
      </c>
    </row>
    <row r="776" spans="1:28" x14ac:dyDescent="0.2">
      <c r="C776" s="20" t="s">
        <v>89</v>
      </c>
      <c r="D776" s="37">
        <v>128</v>
      </c>
      <c r="E776" s="144">
        <v>387.27936</v>
      </c>
      <c r="F776" s="37" t="s">
        <v>330</v>
      </c>
      <c r="G776" s="143">
        <v>116</v>
      </c>
      <c r="H776" s="37" t="s">
        <v>331</v>
      </c>
      <c r="I776" s="37"/>
      <c r="J776" s="37"/>
      <c r="K776" s="37"/>
    </row>
    <row r="777" spans="1:28" x14ac:dyDescent="0.2">
      <c r="C777" s="20" t="s">
        <v>92</v>
      </c>
      <c r="D777" s="37">
        <v>83</v>
      </c>
      <c r="E777" s="144">
        <v>237.17499000000001</v>
      </c>
      <c r="F777" s="37" t="s">
        <v>332</v>
      </c>
      <c r="G777" s="143">
        <v>71</v>
      </c>
      <c r="H777" s="37" t="s">
        <v>333</v>
      </c>
      <c r="I777" s="37"/>
      <c r="J777" s="37"/>
      <c r="K777" s="37"/>
    </row>
    <row r="778" spans="1:28" x14ac:dyDescent="0.2">
      <c r="C778" s="20" t="s">
        <v>95</v>
      </c>
      <c r="D778" s="37"/>
      <c r="E778" s="144">
        <v>1032.43435</v>
      </c>
      <c r="F778" s="37"/>
      <c r="G778" s="143">
        <v>310</v>
      </c>
      <c r="H778" s="37"/>
      <c r="I778" s="37"/>
      <c r="J778" s="37"/>
      <c r="K778" s="37"/>
    </row>
    <row r="779" spans="1:28" ht="14.25" x14ac:dyDescent="0.2">
      <c r="A779" s="149" t="s">
        <v>1938</v>
      </c>
      <c r="B779" s="149" t="s">
        <v>1146</v>
      </c>
      <c r="C779" s="145" t="s">
        <v>335</v>
      </c>
      <c r="D779" s="3">
        <v>30</v>
      </c>
      <c r="E779" s="141">
        <v>0</v>
      </c>
      <c r="F779" s="141">
        <v>0</v>
      </c>
      <c r="G779" s="140">
        <v>0</v>
      </c>
      <c r="H779" s="140">
        <v>0</v>
      </c>
      <c r="I779" s="142">
        <v>0</v>
      </c>
      <c r="J779" s="141">
        <v>0</v>
      </c>
      <c r="K779" s="141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</row>
    <row r="780" spans="1:28" ht="14.25" x14ac:dyDescent="0.2">
      <c r="C780" s="35" t="s">
        <v>171</v>
      </c>
      <c r="D780" s="3"/>
      <c r="E780" s="139">
        <v>0</v>
      </c>
      <c r="F780" s="139">
        <v>0</v>
      </c>
      <c r="G780" s="140"/>
      <c r="H780" s="140"/>
      <c r="I780" s="140">
        <v>0</v>
      </c>
      <c r="J780" s="139">
        <v>0</v>
      </c>
      <c r="K780" s="139">
        <v>0</v>
      </c>
    </row>
    <row r="781" spans="1:28" ht="99.75" x14ac:dyDescent="0.2">
      <c r="A781" s="149" t="s">
        <v>300</v>
      </c>
      <c r="B781" s="149" t="s">
        <v>1939</v>
      </c>
      <c r="C781" s="145" t="s">
        <v>629</v>
      </c>
      <c r="D781" s="3">
        <v>30</v>
      </c>
      <c r="E781" s="141">
        <v>28.25</v>
      </c>
      <c r="F781" s="141">
        <v>0</v>
      </c>
      <c r="G781" s="140">
        <v>848</v>
      </c>
      <c r="H781" s="140">
        <v>0</v>
      </c>
      <c r="I781" s="142">
        <v>0</v>
      </c>
      <c r="J781" s="141">
        <v>0</v>
      </c>
      <c r="K781" s="141">
        <v>0</v>
      </c>
      <c r="T781">
        <v>848</v>
      </c>
      <c r="U781">
        <v>848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</row>
    <row r="782" spans="1:28" ht="14.25" x14ac:dyDescent="0.2">
      <c r="C782" s="35" t="s">
        <v>171</v>
      </c>
      <c r="D782" s="3"/>
      <c r="E782" s="139">
        <v>0</v>
      </c>
      <c r="F782" s="139">
        <v>0</v>
      </c>
      <c r="G782" s="140"/>
      <c r="H782" s="140"/>
      <c r="I782" s="140">
        <v>0</v>
      </c>
      <c r="J782" s="139">
        <v>0</v>
      </c>
      <c r="K782" s="139">
        <v>0</v>
      </c>
    </row>
    <row r="783" spans="1:28" ht="133.5" x14ac:dyDescent="0.2">
      <c r="A783" s="149" t="s">
        <v>301</v>
      </c>
      <c r="B783" s="149" t="s">
        <v>1940</v>
      </c>
      <c r="C783" s="145" t="s">
        <v>1886</v>
      </c>
      <c r="D783" s="3">
        <v>0.35</v>
      </c>
      <c r="E783" s="141">
        <v>406.45</v>
      </c>
      <c r="F783" s="141">
        <v>49.21</v>
      </c>
      <c r="G783" s="140">
        <v>142</v>
      </c>
      <c r="H783" s="140">
        <v>115</v>
      </c>
      <c r="I783" s="142">
        <v>17</v>
      </c>
      <c r="J783" s="141">
        <v>34.154999999999994</v>
      </c>
      <c r="K783" s="141">
        <v>11.954249999999996</v>
      </c>
      <c r="T783">
        <v>361</v>
      </c>
      <c r="U783">
        <v>10</v>
      </c>
      <c r="V783">
        <v>115</v>
      </c>
      <c r="W783">
        <v>17</v>
      </c>
      <c r="X783">
        <v>3</v>
      </c>
      <c r="Y783">
        <v>11.954249999999996</v>
      </c>
      <c r="Z783">
        <v>0.21875</v>
      </c>
      <c r="AA783">
        <v>136</v>
      </c>
      <c r="AB783">
        <v>83</v>
      </c>
    </row>
    <row r="784" spans="1:28" ht="14.25" x14ac:dyDescent="0.2">
      <c r="C784" s="35" t="s">
        <v>169</v>
      </c>
      <c r="D784" s="3"/>
      <c r="E784" s="139">
        <v>328.57</v>
      </c>
      <c r="F784" s="139">
        <v>7.61</v>
      </c>
      <c r="G784" s="140"/>
      <c r="H784" s="140"/>
      <c r="I784" s="140">
        <v>3</v>
      </c>
      <c r="J784" s="139">
        <v>0.625</v>
      </c>
      <c r="K784" s="139">
        <v>0.21875</v>
      </c>
    </row>
    <row r="785" spans="1:28" x14ac:dyDescent="0.2">
      <c r="C785" s="36" t="s">
        <v>382</v>
      </c>
    </row>
    <row r="786" spans="1:28" x14ac:dyDescent="0.2">
      <c r="C786" s="20" t="s">
        <v>89</v>
      </c>
      <c r="D786" s="37">
        <v>128</v>
      </c>
      <c r="E786" s="144">
        <v>387.27936</v>
      </c>
      <c r="F786" s="37" t="s">
        <v>330</v>
      </c>
      <c r="G786" s="143">
        <v>136</v>
      </c>
      <c r="H786" s="37" t="s">
        <v>331</v>
      </c>
      <c r="I786" s="37"/>
      <c r="J786" s="37"/>
      <c r="K786" s="37"/>
    </row>
    <row r="787" spans="1:28" x14ac:dyDescent="0.2">
      <c r="C787" s="20" t="s">
        <v>92</v>
      </c>
      <c r="D787" s="37">
        <v>83</v>
      </c>
      <c r="E787" s="144">
        <v>237.17499000000001</v>
      </c>
      <c r="F787" s="37" t="s">
        <v>332</v>
      </c>
      <c r="G787" s="143">
        <v>83</v>
      </c>
      <c r="H787" s="37" t="s">
        <v>333</v>
      </c>
      <c r="I787" s="37"/>
      <c r="J787" s="37"/>
      <c r="K787" s="37"/>
    </row>
    <row r="788" spans="1:28" x14ac:dyDescent="0.2">
      <c r="C788" s="20" t="s">
        <v>95</v>
      </c>
      <c r="D788" s="37"/>
      <c r="E788" s="144">
        <v>1030.90435</v>
      </c>
      <c r="F788" s="37"/>
      <c r="G788" s="143">
        <v>361</v>
      </c>
      <c r="H788" s="37"/>
      <c r="I788" s="37"/>
      <c r="J788" s="37"/>
      <c r="K788" s="37"/>
    </row>
    <row r="789" spans="1:28" ht="14.25" x14ac:dyDescent="0.2">
      <c r="A789" s="149" t="s">
        <v>1941</v>
      </c>
      <c r="B789" s="149" t="s">
        <v>1146</v>
      </c>
      <c r="C789" s="145" t="s">
        <v>335</v>
      </c>
      <c r="D789" s="3">
        <v>35</v>
      </c>
      <c r="E789" s="141">
        <v>0</v>
      </c>
      <c r="F789" s="141">
        <v>0</v>
      </c>
      <c r="G789" s="140">
        <v>0</v>
      </c>
      <c r="H789" s="140">
        <v>0</v>
      </c>
      <c r="I789" s="142">
        <v>0</v>
      </c>
      <c r="J789" s="141">
        <v>0</v>
      </c>
      <c r="K789" s="141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</row>
    <row r="790" spans="1:28" ht="14.25" x14ac:dyDescent="0.2">
      <c r="C790" s="35" t="s">
        <v>171</v>
      </c>
      <c r="D790" s="3"/>
      <c r="E790" s="139">
        <v>0</v>
      </c>
      <c r="F790" s="139">
        <v>0</v>
      </c>
      <c r="G790" s="140"/>
      <c r="H790" s="140"/>
      <c r="I790" s="140">
        <v>0</v>
      </c>
      <c r="J790" s="139">
        <v>0</v>
      </c>
      <c r="K790" s="139">
        <v>0</v>
      </c>
    </row>
    <row r="791" spans="1:28" ht="99.75" x14ac:dyDescent="0.2">
      <c r="A791" s="149" t="s">
        <v>302</v>
      </c>
      <c r="B791" s="149" t="s">
        <v>1942</v>
      </c>
      <c r="C791" s="145" t="s">
        <v>630</v>
      </c>
      <c r="D791" s="3">
        <v>35</v>
      </c>
      <c r="E791" s="141">
        <v>42.85</v>
      </c>
      <c r="F791" s="141">
        <v>0</v>
      </c>
      <c r="G791" s="140">
        <v>1500</v>
      </c>
      <c r="H791" s="140">
        <v>0</v>
      </c>
      <c r="I791" s="142">
        <v>0</v>
      </c>
      <c r="J791" s="141">
        <v>0</v>
      </c>
      <c r="K791" s="141">
        <v>0</v>
      </c>
      <c r="T791">
        <v>1500</v>
      </c>
      <c r="U791">
        <v>1500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</row>
    <row r="792" spans="1:28" ht="14.25" x14ac:dyDescent="0.2">
      <c r="C792" s="35" t="s">
        <v>171</v>
      </c>
      <c r="D792" s="3"/>
      <c r="E792" s="139">
        <v>0</v>
      </c>
      <c r="F792" s="139">
        <v>0</v>
      </c>
      <c r="G792" s="140"/>
      <c r="H792" s="140"/>
      <c r="I792" s="140">
        <v>0</v>
      </c>
      <c r="J792" s="139">
        <v>0</v>
      </c>
      <c r="K792" s="139">
        <v>0</v>
      </c>
    </row>
    <row r="793" spans="1:28" ht="133.5" x14ac:dyDescent="0.2">
      <c r="A793" s="149" t="s">
        <v>303</v>
      </c>
      <c r="B793" s="149" t="s">
        <v>1943</v>
      </c>
      <c r="C793" s="145" t="s">
        <v>1885</v>
      </c>
      <c r="D793" s="3">
        <v>0.5</v>
      </c>
      <c r="E793" s="141">
        <v>405.37</v>
      </c>
      <c r="F793" s="141">
        <v>49.21</v>
      </c>
      <c r="G793" s="140">
        <v>203</v>
      </c>
      <c r="H793" s="140">
        <v>164</v>
      </c>
      <c r="I793" s="142">
        <v>25</v>
      </c>
      <c r="J793" s="141">
        <v>34.154999999999994</v>
      </c>
      <c r="K793" s="141">
        <v>17.077499999999997</v>
      </c>
      <c r="T793">
        <v>516</v>
      </c>
      <c r="U793">
        <v>14</v>
      </c>
      <c r="V793">
        <v>164</v>
      </c>
      <c r="W793">
        <v>25</v>
      </c>
      <c r="X793">
        <v>4</v>
      </c>
      <c r="Y793">
        <v>17.077499999999997</v>
      </c>
      <c r="Z793">
        <v>0.3125</v>
      </c>
      <c r="AA793">
        <v>194</v>
      </c>
      <c r="AB793">
        <v>119</v>
      </c>
    </row>
    <row r="794" spans="1:28" ht="14.25" x14ac:dyDescent="0.2">
      <c r="C794" s="35" t="s">
        <v>169</v>
      </c>
      <c r="D794" s="3"/>
      <c r="E794" s="139">
        <v>328.57</v>
      </c>
      <c r="F794" s="139">
        <v>7.61</v>
      </c>
      <c r="G794" s="140"/>
      <c r="H794" s="140"/>
      <c r="I794" s="140">
        <v>4</v>
      </c>
      <c r="J794" s="139">
        <v>0.625</v>
      </c>
      <c r="K794" s="139">
        <v>0.3125</v>
      </c>
    </row>
    <row r="795" spans="1:28" x14ac:dyDescent="0.2">
      <c r="C795" s="36" t="s">
        <v>631</v>
      </c>
    </row>
    <row r="796" spans="1:28" x14ac:dyDescent="0.2">
      <c r="C796" s="20" t="s">
        <v>89</v>
      </c>
      <c r="D796" s="37">
        <v>128</v>
      </c>
      <c r="E796" s="144">
        <v>387.27936</v>
      </c>
      <c r="F796" s="37" t="s">
        <v>330</v>
      </c>
      <c r="G796" s="143">
        <v>194</v>
      </c>
      <c r="H796" s="37" t="s">
        <v>331</v>
      </c>
      <c r="I796" s="37"/>
      <c r="J796" s="37"/>
      <c r="K796" s="37"/>
    </row>
    <row r="797" spans="1:28" x14ac:dyDescent="0.2">
      <c r="C797" s="20" t="s">
        <v>92</v>
      </c>
      <c r="D797" s="37">
        <v>83</v>
      </c>
      <c r="E797" s="144">
        <v>237.17499000000001</v>
      </c>
      <c r="F797" s="37" t="s">
        <v>332</v>
      </c>
      <c r="G797" s="143">
        <v>119</v>
      </c>
      <c r="H797" s="37" t="s">
        <v>333</v>
      </c>
      <c r="I797" s="37"/>
      <c r="J797" s="37"/>
      <c r="K797" s="37"/>
    </row>
    <row r="798" spans="1:28" x14ac:dyDescent="0.2">
      <c r="C798" s="20" t="s">
        <v>95</v>
      </c>
      <c r="D798" s="37"/>
      <c r="E798" s="144">
        <v>1029.8243499999999</v>
      </c>
      <c r="F798" s="37"/>
      <c r="G798" s="143">
        <v>516</v>
      </c>
      <c r="H798" s="37"/>
      <c r="I798" s="37"/>
      <c r="J798" s="37"/>
      <c r="K798" s="37"/>
    </row>
    <row r="799" spans="1:28" ht="14.25" x14ac:dyDescent="0.2">
      <c r="A799" s="149" t="s">
        <v>1944</v>
      </c>
      <c r="B799" s="149" t="s">
        <v>1146</v>
      </c>
      <c r="C799" s="145" t="s">
        <v>335</v>
      </c>
      <c r="D799" s="3">
        <v>50</v>
      </c>
      <c r="E799" s="141">
        <v>0</v>
      </c>
      <c r="F799" s="141">
        <v>0</v>
      </c>
      <c r="G799" s="140">
        <v>0</v>
      </c>
      <c r="H799" s="140">
        <v>0</v>
      </c>
      <c r="I799" s="142">
        <v>0</v>
      </c>
      <c r="J799" s="141">
        <v>0</v>
      </c>
      <c r="K799" s="141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</row>
    <row r="800" spans="1:28" ht="14.25" x14ac:dyDescent="0.2">
      <c r="C800" s="35" t="s">
        <v>171</v>
      </c>
      <c r="D800" s="3"/>
      <c r="E800" s="139">
        <v>0</v>
      </c>
      <c r="F800" s="139">
        <v>0</v>
      </c>
      <c r="G800" s="140"/>
      <c r="H800" s="140"/>
      <c r="I800" s="140">
        <v>0</v>
      </c>
      <c r="J800" s="139">
        <v>0</v>
      </c>
      <c r="K800" s="139">
        <v>0</v>
      </c>
    </row>
    <row r="801" spans="1:28" ht="99.75" x14ac:dyDescent="0.2">
      <c r="A801" s="149" t="s">
        <v>304</v>
      </c>
      <c r="B801" s="149" t="s">
        <v>1945</v>
      </c>
      <c r="C801" s="145" t="s">
        <v>632</v>
      </c>
      <c r="D801" s="3">
        <v>50</v>
      </c>
      <c r="E801" s="141">
        <v>25.51</v>
      </c>
      <c r="F801" s="141">
        <v>0</v>
      </c>
      <c r="G801" s="140">
        <v>1276</v>
      </c>
      <c r="H801" s="140">
        <v>0</v>
      </c>
      <c r="I801" s="142">
        <v>0</v>
      </c>
      <c r="J801" s="141">
        <v>0</v>
      </c>
      <c r="K801" s="141">
        <v>0</v>
      </c>
      <c r="T801">
        <v>1276</v>
      </c>
      <c r="U801">
        <v>1276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</row>
    <row r="802" spans="1:28" ht="14.25" x14ac:dyDescent="0.2">
      <c r="C802" s="35" t="s">
        <v>171</v>
      </c>
      <c r="D802" s="3"/>
      <c r="E802" s="139">
        <v>0</v>
      </c>
      <c r="F802" s="139">
        <v>0</v>
      </c>
      <c r="G802" s="140"/>
      <c r="H802" s="140"/>
      <c r="I802" s="140">
        <v>0</v>
      </c>
      <c r="J802" s="139">
        <v>0</v>
      </c>
      <c r="K802" s="139">
        <v>0</v>
      </c>
    </row>
    <row r="803" spans="1:28" ht="133.5" x14ac:dyDescent="0.2">
      <c r="A803" s="149" t="s">
        <v>306</v>
      </c>
      <c r="B803" s="149" t="s">
        <v>1946</v>
      </c>
      <c r="C803" s="145" t="s">
        <v>1884</v>
      </c>
      <c r="D803" s="3">
        <v>6</v>
      </c>
      <c r="E803" s="141">
        <v>45.18</v>
      </c>
      <c r="F803" s="141">
        <v>5.19</v>
      </c>
      <c r="G803" s="140">
        <v>271</v>
      </c>
      <c r="H803" s="140">
        <v>92</v>
      </c>
      <c r="I803" s="142">
        <v>31</v>
      </c>
      <c r="J803" s="141">
        <v>1.6904999999999999</v>
      </c>
      <c r="K803" s="141">
        <v>10.142999999999999</v>
      </c>
      <c r="T803">
        <v>445</v>
      </c>
      <c r="U803">
        <v>148</v>
      </c>
      <c r="V803">
        <v>92</v>
      </c>
      <c r="W803">
        <v>31</v>
      </c>
      <c r="X803">
        <v>2</v>
      </c>
      <c r="Y803">
        <v>10.142999999999999</v>
      </c>
      <c r="Z803">
        <v>0.15000000000000002</v>
      </c>
      <c r="AA803">
        <v>108</v>
      </c>
      <c r="AB803">
        <v>66</v>
      </c>
    </row>
    <row r="804" spans="1:28" ht="14.25" x14ac:dyDescent="0.2">
      <c r="C804" s="35" t="s">
        <v>158</v>
      </c>
      <c r="D804" s="3"/>
      <c r="E804" s="139">
        <v>15.33</v>
      </c>
      <c r="F804" s="139">
        <v>0.28999999999999998</v>
      </c>
      <c r="G804" s="140"/>
      <c r="H804" s="140"/>
      <c r="I804" s="140">
        <v>2</v>
      </c>
      <c r="J804" s="139">
        <v>2.5000000000000001E-2</v>
      </c>
      <c r="K804" s="139">
        <v>0.15000000000000002</v>
      </c>
    </row>
    <row r="805" spans="1:28" x14ac:dyDescent="0.2">
      <c r="C805" s="36" t="s">
        <v>633</v>
      </c>
    </row>
    <row r="806" spans="1:28" x14ac:dyDescent="0.2">
      <c r="C806" s="20" t="s">
        <v>89</v>
      </c>
      <c r="D806" s="37">
        <v>128</v>
      </c>
      <c r="E806" s="144">
        <v>17.994240000000001</v>
      </c>
      <c r="F806" s="37" t="s">
        <v>330</v>
      </c>
      <c r="G806" s="143">
        <v>108</v>
      </c>
      <c r="H806" s="37" t="s">
        <v>331</v>
      </c>
      <c r="I806" s="37"/>
      <c r="J806" s="37"/>
      <c r="K806" s="37"/>
    </row>
    <row r="807" spans="1:28" x14ac:dyDescent="0.2">
      <c r="C807" s="20" t="s">
        <v>92</v>
      </c>
      <c r="D807" s="37">
        <v>83</v>
      </c>
      <c r="E807" s="144">
        <v>11.019909999999999</v>
      </c>
      <c r="F807" s="37" t="s">
        <v>332</v>
      </c>
      <c r="G807" s="143">
        <v>66</v>
      </c>
      <c r="H807" s="37" t="s">
        <v>333</v>
      </c>
      <c r="I807" s="37"/>
      <c r="J807" s="37"/>
      <c r="K807" s="37"/>
    </row>
    <row r="808" spans="1:28" x14ac:dyDescent="0.2">
      <c r="C808" s="20" t="s">
        <v>95</v>
      </c>
      <c r="D808" s="37"/>
      <c r="E808" s="144">
        <v>74.194150000000008</v>
      </c>
      <c r="F808" s="37"/>
      <c r="G808" s="143">
        <v>445</v>
      </c>
      <c r="H808" s="37"/>
      <c r="I808" s="37"/>
      <c r="J808" s="37"/>
      <c r="K808" s="37"/>
    </row>
    <row r="809" spans="1:28" ht="14.25" x14ac:dyDescent="0.2">
      <c r="A809" s="149" t="s">
        <v>1947</v>
      </c>
      <c r="B809" s="149" t="s">
        <v>1146</v>
      </c>
      <c r="C809" s="145" t="s">
        <v>360</v>
      </c>
      <c r="D809" s="3">
        <v>6</v>
      </c>
      <c r="E809" s="141">
        <v>0</v>
      </c>
      <c r="F809" s="141">
        <v>0</v>
      </c>
      <c r="G809" s="140">
        <v>0</v>
      </c>
      <c r="H809" s="140">
        <v>0</v>
      </c>
      <c r="I809" s="142">
        <v>0</v>
      </c>
      <c r="J809" s="141">
        <v>0</v>
      </c>
      <c r="K809" s="141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</row>
    <row r="810" spans="1:28" ht="14.25" x14ac:dyDescent="0.2">
      <c r="C810" s="35" t="s">
        <v>158</v>
      </c>
      <c r="D810" s="3"/>
      <c r="E810" s="139">
        <v>0</v>
      </c>
      <c r="F810" s="139">
        <v>0</v>
      </c>
      <c r="G810" s="140"/>
      <c r="H810" s="140"/>
      <c r="I810" s="140">
        <v>0</v>
      </c>
      <c r="J810" s="139">
        <v>0</v>
      </c>
      <c r="K810" s="139">
        <v>0</v>
      </c>
    </row>
    <row r="811" spans="1:28" ht="14.25" x14ac:dyDescent="0.2">
      <c r="A811" s="149" t="s">
        <v>1948</v>
      </c>
      <c r="B811" s="149" t="s">
        <v>1146</v>
      </c>
      <c r="C811" s="145" t="s">
        <v>362</v>
      </c>
      <c r="D811" s="3">
        <v>12</v>
      </c>
      <c r="E811" s="141">
        <v>0</v>
      </c>
      <c r="F811" s="141">
        <v>0</v>
      </c>
      <c r="G811" s="140">
        <v>0</v>
      </c>
      <c r="H811" s="140">
        <v>0</v>
      </c>
      <c r="I811" s="142">
        <v>0</v>
      </c>
      <c r="J811" s="141">
        <v>0</v>
      </c>
      <c r="K811" s="14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</row>
    <row r="812" spans="1:28" ht="14.25" x14ac:dyDescent="0.2">
      <c r="C812" s="35" t="s">
        <v>158</v>
      </c>
      <c r="D812" s="3"/>
      <c r="E812" s="139">
        <v>0</v>
      </c>
      <c r="F812" s="139">
        <v>0</v>
      </c>
      <c r="G812" s="140"/>
      <c r="H812" s="140"/>
      <c r="I812" s="140">
        <v>0</v>
      </c>
      <c r="J812" s="139">
        <v>0</v>
      </c>
      <c r="K812" s="139">
        <v>0</v>
      </c>
    </row>
    <row r="813" spans="1:28" ht="99.75" x14ac:dyDescent="0.2">
      <c r="A813" s="149" t="s">
        <v>307</v>
      </c>
      <c r="B813" s="149" t="s">
        <v>1949</v>
      </c>
      <c r="C813" s="145" t="s">
        <v>1950</v>
      </c>
      <c r="D813" s="3">
        <v>4</v>
      </c>
      <c r="E813" s="141">
        <v>815.87</v>
      </c>
      <c r="F813" s="141">
        <v>0</v>
      </c>
      <c r="G813" s="140">
        <v>3263</v>
      </c>
      <c r="H813" s="140">
        <v>0</v>
      </c>
      <c r="I813" s="142">
        <v>0</v>
      </c>
      <c r="J813" s="141">
        <v>0</v>
      </c>
      <c r="K813" s="141">
        <v>0</v>
      </c>
      <c r="T813">
        <v>3263</v>
      </c>
      <c r="U813">
        <v>3263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</row>
    <row r="814" spans="1:28" ht="14.25" x14ac:dyDescent="0.2">
      <c r="C814" s="35" t="s">
        <v>158</v>
      </c>
      <c r="D814" s="3"/>
      <c r="E814" s="139">
        <v>0</v>
      </c>
      <c r="F814" s="139">
        <v>0</v>
      </c>
      <c r="G814" s="140"/>
      <c r="H814" s="140"/>
      <c r="I814" s="140">
        <v>0</v>
      </c>
      <c r="J814" s="139">
        <v>0</v>
      </c>
      <c r="K814" s="139">
        <v>0</v>
      </c>
    </row>
    <row r="815" spans="1:28" ht="99.75" x14ac:dyDescent="0.2">
      <c r="A815" s="149" t="s">
        <v>308</v>
      </c>
      <c r="B815" s="149" t="s">
        <v>1951</v>
      </c>
      <c r="C815" s="145" t="s">
        <v>1952</v>
      </c>
      <c r="D815" s="3">
        <v>2</v>
      </c>
      <c r="E815" s="141">
        <v>772.51</v>
      </c>
      <c r="F815" s="141">
        <v>0</v>
      </c>
      <c r="G815" s="140">
        <v>1545</v>
      </c>
      <c r="H815" s="140">
        <v>0</v>
      </c>
      <c r="I815" s="142">
        <v>0</v>
      </c>
      <c r="J815" s="141">
        <v>0</v>
      </c>
      <c r="K815" s="141">
        <v>0</v>
      </c>
      <c r="T815">
        <v>1545</v>
      </c>
      <c r="U815">
        <v>1545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</row>
    <row r="816" spans="1:28" ht="14.25" x14ac:dyDescent="0.2">
      <c r="C816" s="35" t="s">
        <v>158</v>
      </c>
      <c r="D816" s="3"/>
      <c r="E816" s="139">
        <v>0</v>
      </c>
      <c r="F816" s="139">
        <v>0</v>
      </c>
      <c r="G816" s="140"/>
      <c r="H816" s="140"/>
      <c r="I816" s="140">
        <v>0</v>
      </c>
      <c r="J816" s="139">
        <v>0</v>
      </c>
      <c r="K816" s="139">
        <v>0</v>
      </c>
    </row>
    <row r="817" spans="1:28" ht="99.75" x14ac:dyDescent="0.2">
      <c r="A817" s="149" t="s">
        <v>309</v>
      </c>
      <c r="B817" s="149" t="s">
        <v>1953</v>
      </c>
      <c r="C817" s="145" t="s">
        <v>1954</v>
      </c>
      <c r="D817" s="3">
        <v>8</v>
      </c>
      <c r="E817" s="141">
        <v>218.6</v>
      </c>
      <c r="F817" s="141">
        <v>0</v>
      </c>
      <c r="G817" s="140">
        <v>1749</v>
      </c>
      <c r="H817" s="140">
        <v>0</v>
      </c>
      <c r="I817" s="142">
        <v>0</v>
      </c>
      <c r="J817" s="141">
        <v>0</v>
      </c>
      <c r="K817" s="141">
        <v>0</v>
      </c>
      <c r="T817">
        <v>1749</v>
      </c>
      <c r="U817">
        <v>1749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</row>
    <row r="818" spans="1:28" ht="14.25" x14ac:dyDescent="0.2">
      <c r="C818" s="35" t="s">
        <v>158</v>
      </c>
      <c r="D818" s="3"/>
      <c r="E818" s="139">
        <v>0</v>
      </c>
      <c r="F818" s="139">
        <v>0</v>
      </c>
      <c r="G818" s="140"/>
      <c r="H818" s="140"/>
      <c r="I818" s="140">
        <v>0</v>
      </c>
      <c r="J818" s="139">
        <v>0</v>
      </c>
      <c r="K818" s="139">
        <v>0</v>
      </c>
    </row>
    <row r="819" spans="1:28" ht="99.75" x14ac:dyDescent="0.2">
      <c r="A819" s="149" t="s">
        <v>310</v>
      </c>
      <c r="B819" s="149" t="s">
        <v>1955</v>
      </c>
      <c r="C819" s="145" t="s">
        <v>1956</v>
      </c>
      <c r="D819" s="3">
        <v>4</v>
      </c>
      <c r="E819" s="141">
        <v>194.7</v>
      </c>
      <c r="F819" s="141">
        <v>0</v>
      </c>
      <c r="G819" s="140">
        <v>779</v>
      </c>
      <c r="H819" s="140">
        <v>0</v>
      </c>
      <c r="I819" s="142">
        <v>0</v>
      </c>
      <c r="J819" s="141">
        <v>0</v>
      </c>
      <c r="K819" s="141">
        <v>0</v>
      </c>
      <c r="T819">
        <v>779</v>
      </c>
      <c r="U819">
        <v>779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</row>
    <row r="820" spans="1:28" ht="14.25" x14ac:dyDescent="0.2">
      <c r="C820" s="35" t="s">
        <v>153</v>
      </c>
      <c r="D820" s="3"/>
      <c r="E820" s="139">
        <v>0</v>
      </c>
      <c r="F820" s="139">
        <v>0</v>
      </c>
      <c r="G820" s="140"/>
      <c r="H820" s="140"/>
      <c r="I820" s="140">
        <v>0</v>
      </c>
      <c r="J820" s="139">
        <v>0</v>
      </c>
      <c r="K820" s="139">
        <v>0</v>
      </c>
    </row>
    <row r="821" spans="1:28" ht="133.5" x14ac:dyDescent="0.2">
      <c r="A821" s="149" t="s">
        <v>311</v>
      </c>
      <c r="B821" s="149" t="s">
        <v>1957</v>
      </c>
      <c r="C821" s="145" t="s">
        <v>1883</v>
      </c>
      <c r="D821" s="3">
        <v>2</v>
      </c>
      <c r="E821" s="141">
        <v>44.92</v>
      </c>
      <c r="F821" s="141">
        <v>4.38</v>
      </c>
      <c r="G821" s="140">
        <v>90</v>
      </c>
      <c r="H821" s="140">
        <v>31</v>
      </c>
      <c r="I821" s="142">
        <v>9</v>
      </c>
      <c r="J821" s="141">
        <v>1.6904999999999999</v>
      </c>
      <c r="K821" s="141">
        <v>3.3809999999999998</v>
      </c>
      <c r="T821">
        <v>148</v>
      </c>
      <c r="U821">
        <v>50</v>
      </c>
      <c r="V821">
        <v>31</v>
      </c>
      <c r="W821">
        <v>9</v>
      </c>
      <c r="X821">
        <v>0</v>
      </c>
      <c r="Y821">
        <v>3.3809999999999998</v>
      </c>
      <c r="Z821">
        <v>2.5000000000000001E-2</v>
      </c>
      <c r="AA821">
        <v>36</v>
      </c>
      <c r="AB821">
        <v>22</v>
      </c>
    </row>
    <row r="822" spans="1:28" ht="14.25" x14ac:dyDescent="0.2">
      <c r="C822" s="35" t="s">
        <v>158</v>
      </c>
      <c r="D822" s="3"/>
      <c r="E822" s="139">
        <v>15.33</v>
      </c>
      <c r="F822" s="139">
        <v>0.15</v>
      </c>
      <c r="G822" s="140"/>
      <c r="H822" s="140"/>
      <c r="I822" s="140">
        <v>0</v>
      </c>
      <c r="J822" s="139">
        <v>1.2500000000000001E-2</v>
      </c>
      <c r="K822" s="139">
        <v>2.5000000000000001E-2</v>
      </c>
    </row>
    <row r="823" spans="1:28" x14ac:dyDescent="0.2">
      <c r="C823" s="20" t="s">
        <v>89</v>
      </c>
      <c r="D823" s="37">
        <v>128</v>
      </c>
      <c r="E823" s="144">
        <v>17.83296</v>
      </c>
      <c r="F823" s="37" t="s">
        <v>330</v>
      </c>
      <c r="G823" s="143">
        <v>36</v>
      </c>
      <c r="H823" s="37" t="s">
        <v>331</v>
      </c>
      <c r="I823" s="37"/>
      <c r="J823" s="37"/>
      <c r="K823" s="37"/>
    </row>
    <row r="824" spans="1:28" x14ac:dyDescent="0.2">
      <c r="C824" s="20" t="s">
        <v>92</v>
      </c>
      <c r="D824" s="37">
        <v>83</v>
      </c>
      <c r="E824" s="144">
        <v>10.921140000000001</v>
      </c>
      <c r="F824" s="37" t="s">
        <v>332</v>
      </c>
      <c r="G824" s="143">
        <v>22</v>
      </c>
      <c r="H824" s="37" t="s">
        <v>333</v>
      </c>
      <c r="I824" s="37"/>
      <c r="J824" s="37"/>
      <c r="K824" s="37"/>
    </row>
    <row r="825" spans="1:28" x14ac:dyDescent="0.2">
      <c r="C825" s="20" t="s">
        <v>95</v>
      </c>
      <c r="D825" s="37"/>
      <c r="E825" s="144">
        <v>73.67410000000001</v>
      </c>
      <c r="F825" s="37"/>
      <c r="G825" s="143">
        <v>148</v>
      </c>
      <c r="H825" s="37"/>
      <c r="I825" s="37"/>
      <c r="J825" s="37"/>
      <c r="K825" s="37"/>
    </row>
    <row r="826" spans="1:28" ht="14.25" x14ac:dyDescent="0.2">
      <c r="A826" s="149" t="s">
        <v>1324</v>
      </c>
      <c r="B826" s="149" t="s">
        <v>1146</v>
      </c>
      <c r="C826" s="145" t="s">
        <v>360</v>
      </c>
      <c r="D826" s="3">
        <v>2</v>
      </c>
      <c r="E826" s="141">
        <v>0</v>
      </c>
      <c r="F826" s="141">
        <v>0</v>
      </c>
      <c r="G826" s="140">
        <v>0</v>
      </c>
      <c r="H826" s="140">
        <v>0</v>
      </c>
      <c r="I826" s="142">
        <v>0</v>
      </c>
      <c r="J826" s="141">
        <v>0</v>
      </c>
      <c r="K826" s="141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</row>
    <row r="827" spans="1:28" ht="14.25" x14ac:dyDescent="0.2">
      <c r="C827" s="35" t="s">
        <v>158</v>
      </c>
      <c r="D827" s="3"/>
      <c r="E827" s="139">
        <v>0</v>
      </c>
      <c r="F827" s="139">
        <v>0</v>
      </c>
      <c r="G827" s="140"/>
      <c r="H827" s="140"/>
      <c r="I827" s="140">
        <v>0</v>
      </c>
      <c r="J827" s="139">
        <v>0</v>
      </c>
      <c r="K827" s="139">
        <v>0</v>
      </c>
    </row>
    <row r="828" spans="1:28" ht="14.25" x14ac:dyDescent="0.2">
      <c r="A828" s="149" t="s">
        <v>1326</v>
      </c>
      <c r="B828" s="149" t="s">
        <v>1146</v>
      </c>
      <c r="C828" s="145" t="s">
        <v>362</v>
      </c>
      <c r="D828" s="3">
        <v>4</v>
      </c>
      <c r="E828" s="141">
        <v>0</v>
      </c>
      <c r="F828" s="141">
        <v>0</v>
      </c>
      <c r="G828" s="140">
        <v>0</v>
      </c>
      <c r="H828" s="140">
        <v>0</v>
      </c>
      <c r="I828" s="142">
        <v>0</v>
      </c>
      <c r="J828" s="141">
        <v>0</v>
      </c>
      <c r="K828" s="141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</row>
    <row r="829" spans="1:28" ht="14.25" x14ac:dyDescent="0.2">
      <c r="C829" s="35" t="s">
        <v>158</v>
      </c>
      <c r="D829" s="3"/>
      <c r="E829" s="139">
        <v>0</v>
      </c>
      <c r="F829" s="139">
        <v>0</v>
      </c>
      <c r="G829" s="140"/>
      <c r="H829" s="140"/>
      <c r="I829" s="140">
        <v>0</v>
      </c>
      <c r="J829" s="139">
        <v>0</v>
      </c>
      <c r="K829" s="139">
        <v>0</v>
      </c>
    </row>
    <row r="830" spans="1:28" ht="99.75" x14ac:dyDescent="0.2">
      <c r="A830" s="149" t="s">
        <v>312</v>
      </c>
      <c r="B830" s="149" t="s">
        <v>1958</v>
      </c>
      <c r="C830" s="145" t="s">
        <v>1959</v>
      </c>
      <c r="D830" s="3">
        <v>2</v>
      </c>
      <c r="E830" s="141">
        <v>515.73</v>
      </c>
      <c r="F830" s="141">
        <v>0</v>
      </c>
      <c r="G830" s="140">
        <v>1031</v>
      </c>
      <c r="H830" s="140">
        <v>0</v>
      </c>
      <c r="I830" s="142">
        <v>0</v>
      </c>
      <c r="J830" s="141">
        <v>0</v>
      </c>
      <c r="K830" s="141">
        <v>0</v>
      </c>
      <c r="T830">
        <v>1031</v>
      </c>
      <c r="U830">
        <v>1031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</row>
    <row r="831" spans="1:28" ht="14.25" x14ac:dyDescent="0.2">
      <c r="C831" s="35" t="s">
        <v>158</v>
      </c>
      <c r="D831" s="3"/>
      <c r="E831" s="139">
        <v>0</v>
      </c>
      <c r="F831" s="139">
        <v>0</v>
      </c>
      <c r="G831" s="140"/>
      <c r="H831" s="140"/>
      <c r="I831" s="140">
        <v>0</v>
      </c>
      <c r="J831" s="139">
        <v>0</v>
      </c>
      <c r="K831" s="139">
        <v>0</v>
      </c>
    </row>
    <row r="832" spans="1:28" ht="99.75" x14ac:dyDescent="0.2">
      <c r="A832" s="149" t="s">
        <v>314</v>
      </c>
      <c r="B832" s="149" t="s">
        <v>1960</v>
      </c>
      <c r="C832" s="145" t="s">
        <v>1961</v>
      </c>
      <c r="D832" s="3">
        <v>4</v>
      </c>
      <c r="E832" s="141">
        <v>169.71</v>
      </c>
      <c r="F832" s="141">
        <v>0</v>
      </c>
      <c r="G832" s="140">
        <v>679</v>
      </c>
      <c r="H832" s="140">
        <v>0</v>
      </c>
      <c r="I832" s="142">
        <v>0</v>
      </c>
      <c r="J832" s="141">
        <v>0</v>
      </c>
      <c r="K832" s="141">
        <v>0</v>
      </c>
      <c r="T832">
        <v>679</v>
      </c>
      <c r="U832">
        <v>679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</row>
    <row r="833" spans="1:28" ht="14.25" x14ac:dyDescent="0.2">
      <c r="C833" s="35" t="s">
        <v>153</v>
      </c>
      <c r="D833" s="3"/>
      <c r="E833" s="139">
        <v>0</v>
      </c>
      <c r="F833" s="139">
        <v>0</v>
      </c>
      <c r="G833" s="140"/>
      <c r="H833" s="140"/>
      <c r="I833" s="140">
        <v>0</v>
      </c>
      <c r="J833" s="139">
        <v>0</v>
      </c>
      <c r="K833" s="139">
        <v>0</v>
      </c>
    </row>
    <row r="834" spans="1:28" ht="99.75" x14ac:dyDescent="0.2">
      <c r="A834" s="149" t="s">
        <v>636</v>
      </c>
      <c r="B834" s="149" t="s">
        <v>1962</v>
      </c>
      <c r="C834" s="145" t="s">
        <v>1882</v>
      </c>
      <c r="D834" s="3">
        <v>2</v>
      </c>
      <c r="E834" s="141">
        <v>34.08</v>
      </c>
      <c r="F834" s="141">
        <v>7.81</v>
      </c>
      <c r="G834" s="140">
        <v>69</v>
      </c>
      <c r="H834" s="140">
        <v>35</v>
      </c>
      <c r="I834" s="142">
        <v>16</v>
      </c>
      <c r="J834" s="141">
        <v>1.8285</v>
      </c>
      <c r="K834" s="141">
        <v>3.657</v>
      </c>
      <c r="T834">
        <v>138</v>
      </c>
      <c r="U834">
        <v>18</v>
      </c>
      <c r="V834">
        <v>35</v>
      </c>
      <c r="W834">
        <v>16</v>
      </c>
      <c r="X834">
        <v>2</v>
      </c>
      <c r="Y834">
        <v>3.657</v>
      </c>
      <c r="Z834">
        <v>0.2</v>
      </c>
      <c r="AA834">
        <v>43</v>
      </c>
      <c r="AB834">
        <v>26</v>
      </c>
    </row>
    <row r="835" spans="1:28" ht="14.25" x14ac:dyDescent="0.2">
      <c r="C835" s="35" t="s">
        <v>158</v>
      </c>
      <c r="D835" s="3"/>
      <c r="E835" s="139">
        <v>17.39</v>
      </c>
      <c r="F835" s="139">
        <v>1.21</v>
      </c>
      <c r="G835" s="140"/>
      <c r="H835" s="140"/>
      <c r="I835" s="140">
        <v>2</v>
      </c>
      <c r="J835" s="139">
        <v>0.1</v>
      </c>
      <c r="K835" s="139">
        <v>0.2</v>
      </c>
    </row>
    <row r="836" spans="1:28" x14ac:dyDescent="0.2">
      <c r="C836" s="20" t="s">
        <v>89</v>
      </c>
      <c r="D836" s="37">
        <v>128</v>
      </c>
      <c r="E836" s="144">
        <v>21.427200000000003</v>
      </c>
      <c r="F836" s="37" t="s">
        <v>330</v>
      </c>
      <c r="G836" s="143">
        <v>43</v>
      </c>
      <c r="H836" s="37" t="s">
        <v>331</v>
      </c>
      <c r="I836" s="37"/>
      <c r="J836" s="37"/>
      <c r="K836" s="37"/>
    </row>
    <row r="837" spans="1:28" x14ac:dyDescent="0.2">
      <c r="C837" s="20" t="s">
        <v>92</v>
      </c>
      <c r="D837" s="37">
        <v>83</v>
      </c>
      <c r="E837" s="144">
        <v>13.122300000000001</v>
      </c>
      <c r="F837" s="37" t="s">
        <v>332</v>
      </c>
      <c r="G837" s="143">
        <v>26</v>
      </c>
      <c r="H837" s="37" t="s">
        <v>333</v>
      </c>
      <c r="I837" s="37"/>
      <c r="J837" s="37"/>
      <c r="K837" s="37"/>
    </row>
    <row r="838" spans="1:28" x14ac:dyDescent="0.2">
      <c r="C838" s="20" t="s">
        <v>95</v>
      </c>
      <c r="D838" s="37"/>
      <c r="E838" s="144">
        <v>68.629500000000007</v>
      </c>
      <c r="F838" s="37"/>
      <c r="G838" s="143">
        <v>138</v>
      </c>
      <c r="H838" s="37"/>
      <c r="I838" s="37"/>
      <c r="J838" s="37"/>
      <c r="K838" s="37"/>
    </row>
    <row r="839" spans="1:28" ht="14.25" x14ac:dyDescent="0.2">
      <c r="A839" s="149" t="s">
        <v>1963</v>
      </c>
      <c r="B839" s="149" t="s">
        <v>1146</v>
      </c>
      <c r="C839" s="145" t="s">
        <v>634</v>
      </c>
      <c r="D839" s="3">
        <v>2</v>
      </c>
      <c r="E839" s="141">
        <v>0</v>
      </c>
      <c r="F839" s="141">
        <v>0</v>
      </c>
      <c r="G839" s="140">
        <v>0</v>
      </c>
      <c r="H839" s="140">
        <v>0</v>
      </c>
      <c r="I839" s="142">
        <v>0</v>
      </c>
      <c r="J839" s="141">
        <v>0</v>
      </c>
      <c r="K839" s="141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</row>
    <row r="840" spans="1:28" ht="14.25" x14ac:dyDescent="0.2">
      <c r="C840" s="35" t="s">
        <v>158</v>
      </c>
      <c r="D840" s="3"/>
      <c r="E840" s="139">
        <v>0</v>
      </c>
      <c r="F840" s="139">
        <v>0</v>
      </c>
      <c r="G840" s="140"/>
      <c r="H840" s="140"/>
      <c r="I840" s="140">
        <v>0</v>
      </c>
      <c r="J840" s="139">
        <v>0</v>
      </c>
      <c r="K840" s="139">
        <v>0</v>
      </c>
    </row>
    <row r="841" spans="1:28" ht="14.25" x14ac:dyDescent="0.2">
      <c r="A841" s="149" t="s">
        <v>1964</v>
      </c>
      <c r="B841" s="149" t="s">
        <v>1146</v>
      </c>
      <c r="C841" s="145" t="s">
        <v>362</v>
      </c>
      <c r="D841" s="3">
        <v>2</v>
      </c>
      <c r="E841" s="141">
        <v>0</v>
      </c>
      <c r="F841" s="141">
        <v>0</v>
      </c>
      <c r="G841" s="140">
        <v>0</v>
      </c>
      <c r="H841" s="140">
        <v>0</v>
      </c>
      <c r="I841" s="142">
        <v>0</v>
      </c>
      <c r="J841" s="141">
        <v>0</v>
      </c>
      <c r="K841" s="1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</row>
    <row r="842" spans="1:28" ht="14.25" x14ac:dyDescent="0.2">
      <c r="C842" s="35" t="s">
        <v>158</v>
      </c>
      <c r="D842" s="3"/>
      <c r="E842" s="139">
        <v>0</v>
      </c>
      <c r="F842" s="139">
        <v>0</v>
      </c>
      <c r="G842" s="140"/>
      <c r="H842" s="140"/>
      <c r="I842" s="140">
        <v>0</v>
      </c>
      <c r="J842" s="139">
        <v>0</v>
      </c>
      <c r="K842" s="139">
        <v>0</v>
      </c>
    </row>
    <row r="843" spans="1:28" ht="99.75" x14ac:dyDescent="0.2">
      <c r="A843" s="149" t="s">
        <v>637</v>
      </c>
      <c r="B843" s="149" t="s">
        <v>1965</v>
      </c>
      <c r="C843" s="145" t="s">
        <v>635</v>
      </c>
      <c r="D843" s="3">
        <v>2</v>
      </c>
      <c r="E843" s="141">
        <v>25.09</v>
      </c>
      <c r="F843" s="141">
        <v>0</v>
      </c>
      <c r="G843" s="140">
        <v>50</v>
      </c>
      <c r="H843" s="140">
        <v>0</v>
      </c>
      <c r="I843" s="142">
        <v>0</v>
      </c>
      <c r="J843" s="141">
        <v>0</v>
      </c>
      <c r="K843" s="141">
        <v>0</v>
      </c>
      <c r="T843">
        <v>50</v>
      </c>
      <c r="U843">
        <v>50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</row>
    <row r="844" spans="1:28" ht="14.25" x14ac:dyDescent="0.2">
      <c r="C844" s="35" t="s">
        <v>153</v>
      </c>
      <c r="D844" s="3"/>
      <c r="E844" s="139">
        <v>0</v>
      </c>
      <c r="F844" s="139">
        <v>0</v>
      </c>
      <c r="G844" s="140"/>
      <c r="H844" s="140"/>
      <c r="I844" s="140">
        <v>0</v>
      </c>
      <c r="J844" s="139">
        <v>0</v>
      </c>
      <c r="K844" s="139">
        <v>0</v>
      </c>
    </row>
    <row r="845" spans="1:28" ht="99.75" x14ac:dyDescent="0.2">
      <c r="A845" s="149" t="s">
        <v>638</v>
      </c>
      <c r="B845" s="149" t="s">
        <v>1966</v>
      </c>
      <c r="C845" s="145" t="s">
        <v>1967</v>
      </c>
      <c r="D845" s="3">
        <v>2</v>
      </c>
      <c r="E845" s="141">
        <v>295.26</v>
      </c>
      <c r="F845" s="141">
        <v>0</v>
      </c>
      <c r="G845" s="140">
        <v>591</v>
      </c>
      <c r="H845" s="140">
        <v>0</v>
      </c>
      <c r="I845" s="142">
        <v>0</v>
      </c>
      <c r="J845" s="141">
        <v>0</v>
      </c>
      <c r="K845" s="141">
        <v>0</v>
      </c>
      <c r="T845">
        <v>591</v>
      </c>
      <c r="U845">
        <v>591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</row>
    <row r="846" spans="1:28" ht="14.25" x14ac:dyDescent="0.2">
      <c r="C846" s="35" t="s">
        <v>158</v>
      </c>
      <c r="D846" s="3"/>
      <c r="E846" s="139">
        <v>0</v>
      </c>
      <c r="F846" s="139">
        <v>0</v>
      </c>
      <c r="G846" s="140"/>
      <c r="H846" s="140"/>
      <c r="I846" s="140">
        <v>0</v>
      </c>
      <c r="J846" s="139">
        <v>0</v>
      </c>
      <c r="K846" s="139">
        <v>0</v>
      </c>
    </row>
    <row r="847" spans="1:28" ht="119.25" x14ac:dyDescent="0.2">
      <c r="A847" s="149" t="s">
        <v>639</v>
      </c>
      <c r="B847" s="149" t="s">
        <v>1457</v>
      </c>
      <c r="C847" s="145" t="s">
        <v>1881</v>
      </c>
      <c r="D847" s="3">
        <v>0.15</v>
      </c>
      <c r="E847" s="141">
        <v>235.11</v>
      </c>
      <c r="F847" s="141">
        <v>11.53</v>
      </c>
      <c r="G847" s="140">
        <v>36</v>
      </c>
      <c r="H847" s="140">
        <v>11</v>
      </c>
      <c r="I847" s="142">
        <v>2</v>
      </c>
      <c r="J847" s="141">
        <v>6.7171499999999993</v>
      </c>
      <c r="K847" s="141">
        <v>1.0075724999999998</v>
      </c>
      <c r="T847">
        <v>52</v>
      </c>
      <c r="U847">
        <v>23</v>
      </c>
      <c r="V847">
        <v>11</v>
      </c>
      <c r="W847">
        <v>2</v>
      </c>
      <c r="X847">
        <v>0</v>
      </c>
      <c r="Y847">
        <v>1.0075724999999998</v>
      </c>
      <c r="Z847">
        <v>3.7499999999999999E-3</v>
      </c>
      <c r="AA847">
        <v>9</v>
      </c>
      <c r="AB847">
        <v>7</v>
      </c>
    </row>
    <row r="848" spans="1:28" ht="14.25" x14ac:dyDescent="0.2">
      <c r="C848" s="35" t="s">
        <v>97</v>
      </c>
      <c r="D848" s="3"/>
      <c r="E848" s="139">
        <v>71.540000000000006</v>
      </c>
      <c r="F848" s="139">
        <v>0.28000000000000003</v>
      </c>
      <c r="G848" s="140"/>
      <c r="H848" s="140"/>
      <c r="I848" s="140">
        <v>0</v>
      </c>
      <c r="J848" s="139">
        <v>2.5000000000000001E-2</v>
      </c>
      <c r="K848" s="139">
        <v>3.7499999999999999E-3</v>
      </c>
    </row>
    <row r="849" spans="1:28" x14ac:dyDescent="0.2">
      <c r="C849" s="36" t="s">
        <v>454</v>
      </c>
    </row>
    <row r="850" spans="1:28" x14ac:dyDescent="0.2">
      <c r="C850" s="20" t="s">
        <v>89</v>
      </c>
      <c r="D850" s="37">
        <v>90</v>
      </c>
      <c r="E850" s="144">
        <v>58.174200000000013</v>
      </c>
      <c r="F850" s="37" t="s">
        <v>101</v>
      </c>
      <c r="G850" s="143">
        <v>9</v>
      </c>
      <c r="H850" s="37" t="s">
        <v>102</v>
      </c>
      <c r="I850" s="37"/>
      <c r="J850" s="37"/>
      <c r="K850" s="37"/>
    </row>
    <row r="851" spans="1:28" x14ac:dyDescent="0.2">
      <c r="C851" s="20" t="s">
        <v>92</v>
      </c>
      <c r="D851" s="37">
        <v>70</v>
      </c>
      <c r="E851" s="144">
        <v>42.732900000000008</v>
      </c>
      <c r="F851" s="37" t="s">
        <v>93</v>
      </c>
      <c r="G851" s="143">
        <v>7</v>
      </c>
      <c r="H851" s="37" t="s">
        <v>94</v>
      </c>
      <c r="I851" s="37"/>
      <c r="J851" s="37"/>
      <c r="K851" s="37"/>
    </row>
    <row r="852" spans="1:28" x14ac:dyDescent="0.2">
      <c r="C852" s="20" t="s">
        <v>95</v>
      </c>
      <c r="D852" s="37"/>
      <c r="E852" s="144">
        <v>336.01710000000003</v>
      </c>
      <c r="F852" s="37"/>
      <c r="G852" s="143">
        <v>52</v>
      </c>
      <c r="H852" s="37"/>
      <c r="I852" s="37"/>
      <c r="J852" s="37"/>
      <c r="K852" s="37"/>
    </row>
    <row r="853" spans="1:28" ht="132" x14ac:dyDescent="0.2">
      <c r="A853" s="149" t="s">
        <v>642</v>
      </c>
      <c r="B853" s="149" t="s">
        <v>1968</v>
      </c>
      <c r="C853" s="145" t="s">
        <v>1880</v>
      </c>
      <c r="D853" s="3">
        <v>0.15</v>
      </c>
      <c r="E853" s="141">
        <v>497.1</v>
      </c>
      <c r="F853" s="141">
        <v>29.46</v>
      </c>
      <c r="G853" s="140">
        <v>74</v>
      </c>
      <c r="H853" s="140">
        <v>10</v>
      </c>
      <c r="I853" s="142">
        <v>4</v>
      </c>
      <c r="J853" s="141">
        <v>7.2864000000000004</v>
      </c>
      <c r="K853" s="141">
        <v>1.0929599999999999</v>
      </c>
      <c r="T853">
        <v>88</v>
      </c>
      <c r="U853">
        <v>60</v>
      </c>
      <c r="V853">
        <v>10</v>
      </c>
      <c r="W853">
        <v>4</v>
      </c>
      <c r="X853">
        <v>0</v>
      </c>
      <c r="Y853">
        <v>1.0929599999999999</v>
      </c>
      <c r="Z853">
        <v>1.125E-2</v>
      </c>
      <c r="AA853">
        <v>8</v>
      </c>
      <c r="AB853">
        <v>6</v>
      </c>
    </row>
    <row r="854" spans="1:28" ht="14.25" x14ac:dyDescent="0.2">
      <c r="C854" s="35" t="s">
        <v>97</v>
      </c>
      <c r="D854" s="3"/>
      <c r="E854" s="139">
        <v>66.08</v>
      </c>
      <c r="F854" s="139">
        <v>0.83</v>
      </c>
      <c r="G854" s="140"/>
      <c r="H854" s="140"/>
      <c r="I854" s="140">
        <v>0</v>
      </c>
      <c r="J854" s="139">
        <v>7.4999999999999997E-2</v>
      </c>
      <c r="K854" s="139">
        <v>1.125E-2</v>
      </c>
    </row>
    <row r="855" spans="1:28" x14ac:dyDescent="0.2">
      <c r="C855" s="36" t="s">
        <v>454</v>
      </c>
    </row>
    <row r="856" spans="1:28" x14ac:dyDescent="0.2">
      <c r="C856" s="20" t="s">
        <v>89</v>
      </c>
      <c r="D856" s="37">
        <v>90</v>
      </c>
      <c r="E856" s="144">
        <v>54.197099999999999</v>
      </c>
      <c r="F856" s="37" t="s">
        <v>101</v>
      </c>
      <c r="G856" s="143">
        <v>8</v>
      </c>
      <c r="H856" s="37" t="s">
        <v>102</v>
      </c>
      <c r="I856" s="37"/>
      <c r="J856" s="37"/>
      <c r="K856" s="37"/>
    </row>
    <row r="857" spans="1:28" x14ac:dyDescent="0.2">
      <c r="C857" s="20" t="s">
        <v>92</v>
      </c>
      <c r="D857" s="37">
        <v>70</v>
      </c>
      <c r="E857" s="144">
        <v>39.811450000000001</v>
      </c>
      <c r="F857" s="37" t="s">
        <v>93</v>
      </c>
      <c r="G857" s="143">
        <v>6</v>
      </c>
      <c r="H857" s="37" t="s">
        <v>94</v>
      </c>
      <c r="I857" s="37"/>
      <c r="J857" s="37"/>
      <c r="K857" s="37"/>
    </row>
    <row r="858" spans="1:28" x14ac:dyDescent="0.2">
      <c r="C858" s="20" t="s">
        <v>95</v>
      </c>
      <c r="D858" s="37"/>
      <c r="E858" s="144">
        <v>591.10855000000004</v>
      </c>
      <c r="F858" s="37"/>
      <c r="G858" s="143">
        <v>88</v>
      </c>
      <c r="H858" s="37"/>
      <c r="I858" s="37"/>
      <c r="J858" s="37"/>
      <c r="K858" s="37"/>
    </row>
    <row r="859" spans="1:28" ht="147.75" x14ac:dyDescent="0.2">
      <c r="A859" s="149" t="s">
        <v>644</v>
      </c>
      <c r="B859" s="149" t="s">
        <v>1969</v>
      </c>
      <c r="C859" s="145" t="s">
        <v>1879</v>
      </c>
      <c r="D859" s="3">
        <v>0.78</v>
      </c>
      <c r="E859" s="141">
        <v>826.94</v>
      </c>
      <c r="F859" s="141">
        <v>56.68</v>
      </c>
      <c r="G859" s="140">
        <v>645</v>
      </c>
      <c r="H859" s="140">
        <v>313</v>
      </c>
      <c r="I859" s="142">
        <v>44</v>
      </c>
      <c r="J859" s="141">
        <v>41.74499999999999</v>
      </c>
      <c r="K859" s="141">
        <v>32.561099999999996</v>
      </c>
      <c r="T859">
        <v>1125</v>
      </c>
      <c r="U859">
        <v>288</v>
      </c>
      <c r="V859">
        <v>313</v>
      </c>
      <c r="W859">
        <v>44</v>
      </c>
      <c r="X859">
        <v>8</v>
      </c>
      <c r="Y859">
        <v>32.561099999999996</v>
      </c>
      <c r="Z859">
        <v>0.67274999999999996</v>
      </c>
      <c r="AA859">
        <v>289</v>
      </c>
      <c r="AB859">
        <v>191</v>
      </c>
    </row>
    <row r="860" spans="1:28" ht="14.25" x14ac:dyDescent="0.2">
      <c r="C860" s="35" t="s">
        <v>88</v>
      </c>
      <c r="D860" s="3"/>
      <c r="E860" s="139">
        <v>401.59</v>
      </c>
      <c r="F860" s="139">
        <v>10</v>
      </c>
      <c r="G860" s="140"/>
      <c r="H860" s="140"/>
      <c r="I860" s="140">
        <v>8</v>
      </c>
      <c r="J860" s="139">
        <v>0.86249999999999993</v>
      </c>
      <c r="K860" s="139">
        <v>0.67274999999999996</v>
      </c>
    </row>
    <row r="861" spans="1:28" ht="51" x14ac:dyDescent="0.2">
      <c r="C861" s="36" t="s">
        <v>640</v>
      </c>
    </row>
    <row r="862" spans="1:28" x14ac:dyDescent="0.2">
      <c r="C862" s="20" t="s">
        <v>89</v>
      </c>
      <c r="D862" s="37">
        <v>100</v>
      </c>
      <c r="E862" s="144">
        <v>370.43099999999998</v>
      </c>
      <c r="F862" s="37" t="s">
        <v>353</v>
      </c>
      <c r="G862" s="143">
        <v>289</v>
      </c>
      <c r="H862" s="37" t="s">
        <v>229</v>
      </c>
      <c r="I862" s="37"/>
      <c r="J862" s="37"/>
      <c r="K862" s="37"/>
    </row>
    <row r="863" spans="1:28" x14ac:dyDescent="0.2">
      <c r="C863" s="20" t="s">
        <v>92</v>
      </c>
      <c r="D863" s="37">
        <v>70</v>
      </c>
      <c r="E863" s="144">
        <v>244.89605</v>
      </c>
      <c r="F863" s="37" t="s">
        <v>93</v>
      </c>
      <c r="G863" s="143">
        <v>191</v>
      </c>
      <c r="H863" s="37" t="s">
        <v>94</v>
      </c>
      <c r="I863" s="37"/>
      <c r="J863" s="37"/>
      <c r="K863" s="37"/>
    </row>
    <row r="864" spans="1:28" x14ac:dyDescent="0.2">
      <c r="C864" s="20" t="s">
        <v>95</v>
      </c>
      <c r="D864" s="37"/>
      <c r="E864" s="144">
        <v>1442.2670499999999</v>
      </c>
      <c r="F864" s="37"/>
      <c r="G864" s="143">
        <v>1125</v>
      </c>
      <c r="H864" s="37"/>
      <c r="I864" s="37"/>
      <c r="J864" s="37"/>
      <c r="K864" s="37"/>
    </row>
    <row r="865" spans="1:28" ht="42.75" x14ac:dyDescent="0.2">
      <c r="A865" s="149" t="s">
        <v>1970</v>
      </c>
      <c r="B865" s="149" t="s">
        <v>1146</v>
      </c>
      <c r="C865" s="145" t="s">
        <v>641</v>
      </c>
      <c r="D865" s="3">
        <v>0.80527199999999999</v>
      </c>
      <c r="E865" s="141">
        <v>0</v>
      </c>
      <c r="F865" s="141">
        <v>0</v>
      </c>
      <c r="G865" s="140">
        <v>0</v>
      </c>
      <c r="H865" s="140">
        <v>0</v>
      </c>
      <c r="I865" s="142">
        <v>0</v>
      </c>
      <c r="J865" s="141">
        <v>0</v>
      </c>
      <c r="K865" s="141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</row>
    <row r="866" spans="1:28" ht="14.25" x14ac:dyDescent="0.2">
      <c r="C866" s="35" t="s">
        <v>88</v>
      </c>
      <c r="D866" s="3"/>
      <c r="E866" s="139">
        <v>0</v>
      </c>
      <c r="F866" s="139">
        <v>0</v>
      </c>
      <c r="G866" s="140"/>
      <c r="H866" s="140"/>
      <c r="I866" s="140">
        <v>0</v>
      </c>
      <c r="J866" s="139">
        <v>0</v>
      </c>
      <c r="K866" s="139">
        <v>0</v>
      </c>
    </row>
    <row r="867" spans="1:28" ht="99.75" x14ac:dyDescent="0.2">
      <c r="A867" s="149" t="s">
        <v>646</v>
      </c>
      <c r="B867" s="149" t="s">
        <v>1971</v>
      </c>
      <c r="C867" s="145" t="s">
        <v>643</v>
      </c>
      <c r="D867" s="3">
        <v>8</v>
      </c>
      <c r="E867" s="141">
        <v>92.72</v>
      </c>
      <c r="F867" s="141">
        <v>0</v>
      </c>
      <c r="G867" s="140">
        <v>742</v>
      </c>
      <c r="H867" s="140">
        <v>0</v>
      </c>
      <c r="I867" s="142">
        <v>0</v>
      </c>
      <c r="J867" s="141">
        <v>0</v>
      </c>
      <c r="K867" s="141">
        <v>0</v>
      </c>
      <c r="T867">
        <v>742</v>
      </c>
      <c r="U867">
        <v>742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</row>
    <row r="868" spans="1:28" ht="14.25" x14ac:dyDescent="0.2">
      <c r="C868" s="35" t="s">
        <v>171</v>
      </c>
      <c r="D868" s="3"/>
      <c r="E868" s="139">
        <v>0</v>
      </c>
      <c r="F868" s="139">
        <v>0</v>
      </c>
      <c r="G868" s="140"/>
      <c r="H868" s="140"/>
      <c r="I868" s="140">
        <v>0</v>
      </c>
      <c r="J868" s="139">
        <v>0</v>
      </c>
      <c r="K868" s="139">
        <v>0</v>
      </c>
    </row>
    <row r="869" spans="1:28" ht="99.75" x14ac:dyDescent="0.2">
      <c r="A869" s="149" t="s">
        <v>648</v>
      </c>
      <c r="B869" s="149" t="s">
        <v>1972</v>
      </c>
      <c r="C869" s="145" t="s">
        <v>645</v>
      </c>
      <c r="D869" s="3">
        <v>30</v>
      </c>
      <c r="E869" s="141">
        <v>83.07</v>
      </c>
      <c r="F869" s="141">
        <v>0</v>
      </c>
      <c r="G869" s="140">
        <v>2492</v>
      </c>
      <c r="H869" s="140">
        <v>0</v>
      </c>
      <c r="I869" s="142">
        <v>0</v>
      </c>
      <c r="J869" s="141">
        <v>0</v>
      </c>
      <c r="K869" s="141">
        <v>0</v>
      </c>
      <c r="T869">
        <v>2492</v>
      </c>
      <c r="U869">
        <v>2492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</row>
    <row r="870" spans="1:28" ht="14.25" x14ac:dyDescent="0.2">
      <c r="C870" s="35" t="s">
        <v>171</v>
      </c>
      <c r="D870" s="3"/>
      <c r="E870" s="139">
        <v>0</v>
      </c>
      <c r="F870" s="139">
        <v>0</v>
      </c>
      <c r="G870" s="140"/>
      <c r="H870" s="140"/>
      <c r="I870" s="140">
        <v>0</v>
      </c>
      <c r="J870" s="139">
        <v>0</v>
      </c>
      <c r="K870" s="139">
        <v>0</v>
      </c>
    </row>
    <row r="871" spans="1:28" ht="99.75" x14ac:dyDescent="0.2">
      <c r="A871" s="149" t="s">
        <v>650</v>
      </c>
      <c r="B871" s="149" t="s">
        <v>1973</v>
      </c>
      <c r="C871" s="145" t="s">
        <v>647</v>
      </c>
      <c r="D871" s="3">
        <v>35</v>
      </c>
      <c r="E871" s="141">
        <v>56.62</v>
      </c>
      <c r="F871" s="141">
        <v>0</v>
      </c>
      <c r="G871" s="140">
        <v>1982</v>
      </c>
      <c r="H871" s="140">
        <v>0</v>
      </c>
      <c r="I871" s="142">
        <v>0</v>
      </c>
      <c r="J871" s="141">
        <v>0</v>
      </c>
      <c r="K871" s="141">
        <v>0</v>
      </c>
      <c r="T871">
        <v>1982</v>
      </c>
      <c r="U871">
        <v>1982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</row>
    <row r="872" spans="1:28" ht="14.25" x14ac:dyDescent="0.2">
      <c r="C872" s="35" t="s">
        <v>171</v>
      </c>
      <c r="D872" s="3"/>
      <c r="E872" s="139">
        <v>0</v>
      </c>
      <c r="F872" s="139">
        <v>0</v>
      </c>
      <c r="G872" s="140"/>
      <c r="H872" s="140"/>
      <c r="I872" s="140">
        <v>0</v>
      </c>
      <c r="J872" s="139">
        <v>0</v>
      </c>
      <c r="K872" s="139">
        <v>0</v>
      </c>
    </row>
    <row r="873" spans="1:28" ht="99.75" x14ac:dyDescent="0.2">
      <c r="A873" s="149" t="s">
        <v>652</v>
      </c>
      <c r="B873" s="149" t="s">
        <v>1974</v>
      </c>
      <c r="C873" s="145" t="s">
        <v>649</v>
      </c>
      <c r="D873" s="3">
        <v>35</v>
      </c>
      <c r="E873" s="141">
        <v>53.5</v>
      </c>
      <c r="F873" s="141">
        <v>0</v>
      </c>
      <c r="G873" s="140">
        <v>1873</v>
      </c>
      <c r="H873" s="140">
        <v>0</v>
      </c>
      <c r="I873" s="142">
        <v>0</v>
      </c>
      <c r="J873" s="141">
        <v>0</v>
      </c>
      <c r="K873" s="141">
        <v>0</v>
      </c>
      <c r="T873">
        <v>1873</v>
      </c>
      <c r="U873">
        <v>1873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</row>
    <row r="874" spans="1:28" ht="14.25" x14ac:dyDescent="0.2">
      <c r="C874" s="35" t="s">
        <v>171</v>
      </c>
      <c r="D874" s="3"/>
      <c r="E874" s="139">
        <v>0</v>
      </c>
      <c r="F874" s="139">
        <v>0</v>
      </c>
      <c r="G874" s="140"/>
      <c r="H874" s="140"/>
      <c r="I874" s="140">
        <v>0</v>
      </c>
      <c r="J874" s="139">
        <v>0</v>
      </c>
      <c r="K874" s="139">
        <v>0</v>
      </c>
    </row>
    <row r="875" spans="1:28" ht="119.25" x14ac:dyDescent="0.2">
      <c r="A875" s="149" t="s">
        <v>654</v>
      </c>
      <c r="B875" s="149" t="s">
        <v>1923</v>
      </c>
      <c r="C875" s="145" t="s">
        <v>1873</v>
      </c>
      <c r="D875" s="3">
        <v>4.3999999999999997E-2</v>
      </c>
      <c r="E875" s="141">
        <v>1434.9</v>
      </c>
      <c r="F875" s="141">
        <v>359.99</v>
      </c>
      <c r="G875" s="140">
        <v>63</v>
      </c>
      <c r="H875" s="140">
        <v>37</v>
      </c>
      <c r="I875" s="142">
        <v>16</v>
      </c>
      <c r="J875" s="141">
        <v>92.252999999999986</v>
      </c>
      <c r="K875" s="141">
        <v>4.0591319999999991</v>
      </c>
      <c r="T875">
        <v>120</v>
      </c>
      <c r="U875">
        <v>10</v>
      </c>
      <c r="V875">
        <v>37</v>
      </c>
      <c r="W875">
        <v>16</v>
      </c>
      <c r="X875">
        <v>0</v>
      </c>
      <c r="Y875">
        <v>4.0591319999999991</v>
      </c>
      <c r="Z875">
        <v>1.485E-2</v>
      </c>
      <c r="AA875">
        <v>30</v>
      </c>
      <c r="AB875">
        <v>27</v>
      </c>
    </row>
    <row r="876" spans="1:28" ht="14.25" x14ac:dyDescent="0.2">
      <c r="C876" s="35" t="s">
        <v>99</v>
      </c>
      <c r="D876" s="3"/>
      <c r="E876" s="139">
        <v>836.74</v>
      </c>
      <c r="F876" s="139">
        <v>4.1900000000000004</v>
      </c>
      <c r="G876" s="140"/>
      <c r="H876" s="140"/>
      <c r="I876" s="140">
        <v>0</v>
      </c>
      <c r="J876" s="139">
        <v>0.33750000000000002</v>
      </c>
      <c r="K876" s="139">
        <v>1.485E-2</v>
      </c>
    </row>
    <row r="877" spans="1:28" ht="25.5" x14ac:dyDescent="0.2">
      <c r="C877" s="36" t="s">
        <v>651</v>
      </c>
    </row>
    <row r="878" spans="1:28" x14ac:dyDescent="0.2">
      <c r="C878" s="20" t="s">
        <v>89</v>
      </c>
      <c r="D878" s="37">
        <v>90</v>
      </c>
      <c r="E878" s="144">
        <v>681.15330000000006</v>
      </c>
      <c r="F878" s="37" t="s">
        <v>101</v>
      </c>
      <c r="G878" s="143">
        <v>30</v>
      </c>
      <c r="H878" s="37" t="s">
        <v>102</v>
      </c>
      <c r="I878" s="37"/>
      <c r="J878" s="37"/>
      <c r="K878" s="37"/>
    </row>
    <row r="879" spans="1:28" x14ac:dyDescent="0.2">
      <c r="C879" s="20" t="s">
        <v>92</v>
      </c>
      <c r="D879" s="37">
        <v>85</v>
      </c>
      <c r="E879" s="144">
        <v>607.57192500000008</v>
      </c>
      <c r="F879" s="37" t="s">
        <v>103</v>
      </c>
      <c r="G879" s="143">
        <v>27</v>
      </c>
      <c r="H879" s="37" t="s">
        <v>104</v>
      </c>
      <c r="I879" s="37"/>
      <c r="J879" s="37"/>
      <c r="K879" s="37"/>
    </row>
    <row r="880" spans="1:28" x14ac:dyDescent="0.2">
      <c r="C880" s="20" t="s">
        <v>95</v>
      </c>
      <c r="D880" s="37"/>
      <c r="E880" s="144">
        <v>2723.6252250000002</v>
      </c>
      <c r="F880" s="37"/>
      <c r="G880" s="143">
        <v>120</v>
      </c>
      <c r="H880" s="37"/>
      <c r="I880" s="37"/>
      <c r="J880" s="37"/>
      <c r="K880" s="37"/>
    </row>
    <row r="881" spans="1:33" ht="14.25" x14ac:dyDescent="0.2">
      <c r="A881" s="149" t="s">
        <v>1338</v>
      </c>
      <c r="B881" s="149" t="s">
        <v>1146</v>
      </c>
      <c r="C881" s="145" t="s">
        <v>147</v>
      </c>
      <c r="D881" s="3">
        <v>4.3999999999999997E-2</v>
      </c>
      <c r="E881" s="141">
        <v>0</v>
      </c>
      <c r="F881" s="141">
        <v>0</v>
      </c>
      <c r="G881" s="140">
        <v>0</v>
      </c>
      <c r="H881" s="140">
        <v>0</v>
      </c>
      <c r="I881" s="142">
        <v>0</v>
      </c>
      <c r="J881" s="141">
        <v>0</v>
      </c>
      <c r="K881" s="14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</row>
    <row r="882" spans="1:33" ht="14.25" x14ac:dyDescent="0.2">
      <c r="C882" s="35" t="s">
        <v>99</v>
      </c>
      <c r="D882" s="3"/>
      <c r="E882" s="139">
        <v>0</v>
      </c>
      <c r="F882" s="139">
        <v>0</v>
      </c>
      <c r="G882" s="140"/>
      <c r="H882" s="140"/>
      <c r="I882" s="140">
        <v>0</v>
      </c>
      <c r="J882" s="139">
        <v>0</v>
      </c>
      <c r="K882" s="139">
        <v>0</v>
      </c>
    </row>
    <row r="883" spans="1:33" ht="99.75" x14ac:dyDescent="0.2">
      <c r="A883" s="149" t="s">
        <v>658</v>
      </c>
      <c r="B883" s="149" t="s">
        <v>1925</v>
      </c>
      <c r="C883" s="145" t="s">
        <v>653</v>
      </c>
      <c r="D883" s="3">
        <v>4.3999999999999997E-2</v>
      </c>
      <c r="E883" s="141">
        <v>11498</v>
      </c>
      <c r="F883" s="141">
        <v>0</v>
      </c>
      <c r="G883" s="140">
        <v>506</v>
      </c>
      <c r="H883" s="140">
        <v>0</v>
      </c>
      <c r="I883" s="142">
        <v>0</v>
      </c>
      <c r="J883" s="141">
        <v>0</v>
      </c>
      <c r="K883" s="141">
        <v>0</v>
      </c>
      <c r="T883">
        <v>506</v>
      </c>
      <c r="U883">
        <v>506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</row>
    <row r="884" spans="1:33" ht="14.25" x14ac:dyDescent="0.2">
      <c r="C884" s="35" t="s">
        <v>99</v>
      </c>
      <c r="D884" s="3"/>
      <c r="E884" s="139">
        <v>0</v>
      </c>
      <c r="F884" s="139">
        <v>0</v>
      </c>
      <c r="G884" s="140"/>
      <c r="H884" s="140"/>
      <c r="I884" s="140">
        <v>0</v>
      </c>
      <c r="J884" s="139">
        <v>0</v>
      </c>
      <c r="K884" s="139">
        <v>0</v>
      </c>
    </row>
    <row r="885" spans="1:33" ht="133.5" x14ac:dyDescent="0.2">
      <c r="A885" s="149" t="s">
        <v>660</v>
      </c>
      <c r="B885" s="149" t="s">
        <v>1659</v>
      </c>
      <c r="C885" s="145" t="s">
        <v>1874</v>
      </c>
      <c r="D885" s="3">
        <v>1.23</v>
      </c>
      <c r="E885" s="141">
        <v>127</v>
      </c>
      <c r="F885" s="141">
        <v>55.64</v>
      </c>
      <c r="G885" s="140">
        <v>155</v>
      </c>
      <c r="H885" s="140">
        <v>82</v>
      </c>
      <c r="I885" s="142">
        <v>68</v>
      </c>
      <c r="J885" s="141">
        <v>5.761499999999999</v>
      </c>
      <c r="K885" s="141">
        <v>7.086644999999999</v>
      </c>
      <c r="T885">
        <v>307</v>
      </c>
      <c r="U885">
        <v>5</v>
      </c>
      <c r="V885">
        <v>82</v>
      </c>
      <c r="W885">
        <v>68</v>
      </c>
      <c r="X885">
        <v>0</v>
      </c>
      <c r="Y885">
        <v>7.086644999999999</v>
      </c>
      <c r="Z885">
        <v>0</v>
      </c>
      <c r="AA885">
        <v>94</v>
      </c>
      <c r="AB885">
        <v>58</v>
      </c>
    </row>
    <row r="886" spans="1:33" ht="14.25" x14ac:dyDescent="0.2">
      <c r="C886" s="35" t="s">
        <v>169</v>
      </c>
      <c r="D886" s="3"/>
      <c r="E886" s="139">
        <v>67.069999999999993</v>
      </c>
      <c r="F886" s="139">
        <v>0</v>
      </c>
      <c r="G886" s="140"/>
      <c r="H886" s="140"/>
      <c r="I886" s="140">
        <v>0</v>
      </c>
      <c r="J886" s="139">
        <v>0</v>
      </c>
      <c r="K886" s="139">
        <v>0</v>
      </c>
    </row>
    <row r="887" spans="1:33" x14ac:dyDescent="0.2">
      <c r="C887" s="36" t="s">
        <v>655</v>
      </c>
    </row>
    <row r="888" spans="1:33" x14ac:dyDescent="0.2">
      <c r="C888" s="20" t="s">
        <v>89</v>
      </c>
      <c r="D888" s="37">
        <v>128</v>
      </c>
      <c r="E888" s="144">
        <v>77.264639999999986</v>
      </c>
      <c r="F888" s="37" t="s">
        <v>330</v>
      </c>
      <c r="G888" s="143">
        <v>94</v>
      </c>
      <c r="H888" s="37" t="s">
        <v>331</v>
      </c>
      <c r="I888" s="37"/>
      <c r="J888" s="37"/>
      <c r="K888" s="37"/>
    </row>
    <row r="889" spans="1:33" x14ac:dyDescent="0.2">
      <c r="C889" s="20" t="s">
        <v>92</v>
      </c>
      <c r="D889" s="37">
        <v>83</v>
      </c>
      <c r="E889" s="144">
        <v>47.317884999999997</v>
      </c>
      <c r="F889" s="37" t="s">
        <v>332</v>
      </c>
      <c r="G889" s="143">
        <v>58</v>
      </c>
      <c r="H889" s="37" t="s">
        <v>333</v>
      </c>
      <c r="I889" s="37"/>
      <c r="J889" s="37"/>
      <c r="K889" s="37"/>
    </row>
    <row r="890" spans="1:33" x14ac:dyDescent="0.2">
      <c r="C890" s="20" t="s">
        <v>95</v>
      </c>
      <c r="D890" s="37"/>
      <c r="E890" s="144">
        <v>251.58252499999998</v>
      </c>
      <c r="F890" s="37"/>
      <c r="G890" s="143">
        <v>307</v>
      </c>
      <c r="H890" s="37"/>
      <c r="I890" s="37"/>
      <c r="J890" s="37"/>
      <c r="K890" s="37"/>
    </row>
    <row r="892" spans="1:33" ht="30" x14ac:dyDescent="0.25">
      <c r="A892" s="4"/>
      <c r="B892" s="4"/>
      <c r="C892" s="187" t="s">
        <v>656</v>
      </c>
      <c r="D892" s="187"/>
      <c r="E892" s="187"/>
      <c r="F892" s="187"/>
      <c r="G892" s="136">
        <f>IF(SUM(T762:T891)=0, "-", SUM(T762:T891))</f>
        <v>25003</v>
      </c>
      <c r="H892" s="136">
        <f>IF(SUM(V762:V891)=0, "-", SUM(V762:V891))</f>
        <v>1039</v>
      </c>
      <c r="I892" s="138">
        <f>IF(SUM(W762:W891)=0, "-", SUM(W762:W891))</f>
        <v>257</v>
      </c>
      <c r="J892" s="136"/>
      <c r="K892" s="137">
        <f>IF(SUM(Y762:Y891)=0, "-", SUM(Y762:Y891))</f>
        <v>107.3542595</v>
      </c>
      <c r="AG892" s="146" t="s">
        <v>656</v>
      </c>
    </row>
    <row r="893" spans="1:33" ht="15" x14ac:dyDescent="0.25">
      <c r="A893" s="4"/>
      <c r="B893" s="4"/>
      <c r="C893" s="4"/>
      <c r="D893" s="4"/>
      <c r="E893" s="4"/>
      <c r="F893" s="4"/>
      <c r="G893" s="136"/>
      <c r="H893" s="136"/>
      <c r="I893" s="136">
        <f>IF(SUM(X762:X891)=0, "-", SUM(X762:X891))</f>
        <v>22</v>
      </c>
      <c r="J893" s="136"/>
      <c r="K893" s="135">
        <f>IF(SUM(Z762:Z891)=0, "-", SUM(Z762:Z891))</f>
        <v>1.90235</v>
      </c>
    </row>
    <row r="896" spans="1:33" ht="14.25" x14ac:dyDescent="0.2">
      <c r="C896" s="183" t="s">
        <v>127</v>
      </c>
      <c r="D896" s="183"/>
      <c r="E896" s="183"/>
      <c r="F896" s="183"/>
      <c r="G896" s="183"/>
      <c r="H896" s="172">
        <v>1039</v>
      </c>
      <c r="I896" s="172"/>
    </row>
    <row r="897" spans="1:28" ht="14.25" x14ac:dyDescent="0.2">
      <c r="C897" s="183" t="s">
        <v>128</v>
      </c>
      <c r="D897" s="183"/>
      <c r="E897" s="183"/>
      <c r="F897" s="183"/>
      <c r="G897" s="183"/>
      <c r="H897" s="172">
        <v>257</v>
      </c>
      <c r="I897" s="172"/>
    </row>
    <row r="898" spans="1:28" ht="14.25" x14ac:dyDescent="0.2">
      <c r="C898" s="183" t="s">
        <v>129</v>
      </c>
      <c r="D898" s="183"/>
      <c r="E898" s="183"/>
      <c r="F898" s="183"/>
      <c r="G898" s="183"/>
      <c r="H898" s="172">
        <v>21873</v>
      </c>
      <c r="I898" s="172"/>
    </row>
    <row r="899" spans="1:28" ht="14.25" x14ac:dyDescent="0.2">
      <c r="C899" s="183" t="s">
        <v>130</v>
      </c>
      <c r="D899" s="183"/>
      <c r="E899" s="183"/>
      <c r="F899" s="183"/>
      <c r="G899" s="183"/>
      <c r="H899" s="172">
        <v>1122</v>
      </c>
      <c r="I899" s="172"/>
    </row>
    <row r="900" spans="1:28" ht="14.25" x14ac:dyDescent="0.2">
      <c r="C900" s="183" t="s">
        <v>131</v>
      </c>
      <c r="D900" s="183"/>
      <c r="E900" s="183"/>
      <c r="F900" s="183"/>
      <c r="G900" s="183"/>
      <c r="H900" s="172">
        <v>712</v>
      </c>
      <c r="I900" s="172"/>
    </row>
    <row r="901" spans="1:28" ht="14.25" x14ac:dyDescent="0.2">
      <c r="C901" s="183" t="s">
        <v>134</v>
      </c>
      <c r="D901" s="183"/>
      <c r="E901" s="183"/>
      <c r="F901" s="183"/>
      <c r="G901" s="183"/>
      <c r="H901" s="172">
        <v>25003</v>
      </c>
      <c r="I901" s="172"/>
    </row>
    <row r="903" spans="1:28" ht="16.5" x14ac:dyDescent="0.25">
      <c r="A903" s="186" t="s">
        <v>657</v>
      </c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</row>
    <row r="904" spans="1:28" ht="119.25" x14ac:dyDescent="0.2">
      <c r="A904" s="149" t="s">
        <v>662</v>
      </c>
      <c r="B904" s="149" t="s">
        <v>1643</v>
      </c>
      <c r="C904" s="145" t="s">
        <v>1878</v>
      </c>
      <c r="D904" s="3">
        <v>0.75</v>
      </c>
      <c r="E904" s="141">
        <v>1821.39</v>
      </c>
      <c r="F904" s="141">
        <v>0</v>
      </c>
      <c r="G904" s="140">
        <v>1366</v>
      </c>
      <c r="H904" s="140">
        <v>1366</v>
      </c>
      <c r="I904" s="142">
        <v>0</v>
      </c>
      <c r="J904" s="141">
        <v>217.35</v>
      </c>
      <c r="K904" s="141">
        <v>163.01249999999999</v>
      </c>
      <c r="T904">
        <v>2872</v>
      </c>
      <c r="U904">
        <v>0</v>
      </c>
      <c r="V904">
        <v>1366</v>
      </c>
      <c r="W904">
        <v>0</v>
      </c>
      <c r="X904">
        <v>0</v>
      </c>
      <c r="Y904">
        <v>163.01249999999999</v>
      </c>
      <c r="Z904">
        <v>0</v>
      </c>
      <c r="AA904">
        <v>984</v>
      </c>
      <c r="AB904">
        <v>522</v>
      </c>
    </row>
    <row r="905" spans="1:28" ht="14.25" x14ac:dyDescent="0.2">
      <c r="C905" s="35" t="s">
        <v>208</v>
      </c>
      <c r="D905" s="3"/>
      <c r="E905" s="139">
        <v>1821.39</v>
      </c>
      <c r="F905" s="139">
        <v>0</v>
      </c>
      <c r="G905" s="140"/>
      <c r="H905" s="140"/>
      <c r="I905" s="140">
        <v>0</v>
      </c>
      <c r="J905" s="139">
        <v>0</v>
      </c>
      <c r="K905" s="139">
        <v>0</v>
      </c>
    </row>
    <row r="906" spans="1:28" x14ac:dyDescent="0.2">
      <c r="C906" s="36" t="s">
        <v>659</v>
      </c>
    </row>
    <row r="907" spans="1:28" x14ac:dyDescent="0.2">
      <c r="C907" s="20" t="s">
        <v>89</v>
      </c>
      <c r="D907" s="37">
        <v>80</v>
      </c>
      <c r="E907" s="144">
        <v>1311.4008000000001</v>
      </c>
      <c r="F907" s="37" t="s">
        <v>209</v>
      </c>
      <c r="G907" s="143">
        <v>984</v>
      </c>
      <c r="H907" s="37" t="s">
        <v>207</v>
      </c>
      <c r="I907" s="37"/>
      <c r="J907" s="37"/>
      <c r="K907" s="37"/>
    </row>
    <row r="908" spans="1:28" x14ac:dyDescent="0.2">
      <c r="C908" s="20" t="s">
        <v>92</v>
      </c>
      <c r="D908" s="37">
        <v>45</v>
      </c>
      <c r="E908" s="144">
        <v>696.68167500000015</v>
      </c>
      <c r="F908" s="37" t="s">
        <v>210</v>
      </c>
      <c r="G908" s="143">
        <v>522</v>
      </c>
      <c r="H908" s="37" t="s">
        <v>211</v>
      </c>
      <c r="I908" s="37"/>
      <c r="J908" s="37"/>
      <c r="K908" s="37"/>
    </row>
    <row r="909" spans="1:28" x14ac:dyDescent="0.2">
      <c r="C909" s="20" t="s">
        <v>95</v>
      </c>
      <c r="D909" s="37"/>
      <c r="E909" s="144">
        <v>3829.4724750000005</v>
      </c>
      <c r="F909" s="37"/>
      <c r="G909" s="143">
        <v>2872</v>
      </c>
      <c r="H909" s="37"/>
      <c r="I909" s="37"/>
      <c r="J909" s="37"/>
      <c r="K909" s="37"/>
    </row>
    <row r="910" spans="1:28" ht="105" x14ac:dyDescent="0.2">
      <c r="A910" s="149" t="s">
        <v>663</v>
      </c>
      <c r="B910" s="149" t="s">
        <v>1644</v>
      </c>
      <c r="C910" s="145" t="s">
        <v>1877</v>
      </c>
      <c r="D910" s="3">
        <v>0.75</v>
      </c>
      <c r="E910" s="141">
        <v>131.84</v>
      </c>
      <c r="F910" s="141">
        <v>36.01</v>
      </c>
      <c r="G910" s="140">
        <v>99</v>
      </c>
      <c r="H910" s="140">
        <v>72</v>
      </c>
      <c r="I910" s="142">
        <v>27</v>
      </c>
      <c r="J910" s="141">
        <v>11.729999999999999</v>
      </c>
      <c r="K910" s="141">
        <v>8.7974999999999994</v>
      </c>
      <c r="T910">
        <v>244</v>
      </c>
      <c r="U910">
        <v>0</v>
      </c>
      <c r="V910">
        <v>72</v>
      </c>
      <c r="W910">
        <v>27</v>
      </c>
      <c r="X910">
        <v>3</v>
      </c>
      <c r="Y910">
        <v>8.7974999999999994</v>
      </c>
      <c r="Z910">
        <v>0.30000000000000004</v>
      </c>
      <c r="AA910">
        <v>88</v>
      </c>
      <c r="AB910">
        <v>57</v>
      </c>
    </row>
    <row r="911" spans="1:28" ht="14.25" x14ac:dyDescent="0.2">
      <c r="C911" s="35" t="s">
        <v>395</v>
      </c>
      <c r="D911" s="3"/>
      <c r="E911" s="139">
        <v>95.83</v>
      </c>
      <c r="F911" s="139">
        <v>4.03</v>
      </c>
      <c r="G911" s="140"/>
      <c r="H911" s="140"/>
      <c r="I911" s="140">
        <v>3</v>
      </c>
      <c r="J911" s="139">
        <v>0.4</v>
      </c>
      <c r="K911" s="139">
        <v>0.30000000000000004</v>
      </c>
    </row>
    <row r="912" spans="1:28" x14ac:dyDescent="0.2">
      <c r="C912" s="36" t="s">
        <v>661</v>
      </c>
    </row>
    <row r="913" spans="1:28" x14ac:dyDescent="0.2">
      <c r="C913" s="20" t="s">
        <v>89</v>
      </c>
      <c r="D913" s="37">
        <v>130</v>
      </c>
      <c r="E913" s="144">
        <v>116.83620000000001</v>
      </c>
      <c r="F913" s="37" t="s">
        <v>121</v>
      </c>
      <c r="G913" s="143">
        <v>88</v>
      </c>
      <c r="H913" s="37" t="s">
        <v>122</v>
      </c>
      <c r="I913" s="37"/>
      <c r="J913" s="37"/>
      <c r="K913" s="37"/>
    </row>
    <row r="914" spans="1:28" x14ac:dyDescent="0.2">
      <c r="C914" s="20" t="s">
        <v>92</v>
      </c>
      <c r="D914" s="37">
        <v>89</v>
      </c>
      <c r="E914" s="144">
        <v>75.544090000000011</v>
      </c>
      <c r="F914" s="37" t="s">
        <v>348</v>
      </c>
      <c r="G914" s="143">
        <v>57</v>
      </c>
      <c r="H914" s="37" t="s">
        <v>349</v>
      </c>
      <c r="I914" s="37"/>
      <c r="J914" s="37"/>
      <c r="K914" s="37"/>
    </row>
    <row r="915" spans="1:28" x14ac:dyDescent="0.2">
      <c r="C915" s="20" t="s">
        <v>95</v>
      </c>
      <c r="D915" s="37"/>
      <c r="E915" s="144">
        <v>324.22028999999998</v>
      </c>
      <c r="F915" s="37"/>
      <c r="G915" s="143">
        <v>244</v>
      </c>
      <c r="H915" s="37"/>
      <c r="I915" s="37"/>
      <c r="J915" s="37"/>
      <c r="K915" s="37"/>
    </row>
    <row r="916" spans="1:28" ht="28.5" x14ac:dyDescent="0.2">
      <c r="A916" s="149" t="s">
        <v>1918</v>
      </c>
      <c r="B916" s="149" t="s">
        <v>1146</v>
      </c>
      <c r="C916" s="145" t="s">
        <v>397</v>
      </c>
      <c r="D916" s="3">
        <v>8.25</v>
      </c>
      <c r="E916" s="141">
        <v>0</v>
      </c>
      <c r="F916" s="141">
        <v>0</v>
      </c>
      <c r="G916" s="140">
        <v>0</v>
      </c>
      <c r="H916" s="140">
        <v>0</v>
      </c>
      <c r="I916" s="142">
        <v>0</v>
      </c>
      <c r="J916" s="141">
        <v>0</v>
      </c>
      <c r="K916" s="141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</row>
    <row r="917" spans="1:28" ht="14.25" x14ac:dyDescent="0.2">
      <c r="C917" s="35" t="s">
        <v>88</v>
      </c>
      <c r="D917" s="3"/>
      <c r="E917" s="139">
        <v>0</v>
      </c>
      <c r="F917" s="139">
        <v>0</v>
      </c>
      <c r="G917" s="140"/>
      <c r="H917" s="140"/>
      <c r="I917" s="140">
        <v>0</v>
      </c>
      <c r="J917" s="139">
        <v>0</v>
      </c>
      <c r="K917" s="139">
        <v>0</v>
      </c>
    </row>
    <row r="918" spans="1:28" ht="99.75" x14ac:dyDescent="0.2">
      <c r="A918" s="149" t="s">
        <v>665</v>
      </c>
      <c r="B918" s="149" t="s">
        <v>1919</v>
      </c>
      <c r="C918" s="145" t="s">
        <v>214</v>
      </c>
      <c r="D918" s="3">
        <v>8.25</v>
      </c>
      <c r="E918" s="141">
        <v>55.26</v>
      </c>
      <c r="F918" s="141">
        <v>0</v>
      </c>
      <c r="G918" s="140">
        <v>456</v>
      </c>
      <c r="H918" s="140">
        <v>0</v>
      </c>
      <c r="I918" s="142">
        <v>0</v>
      </c>
      <c r="J918" s="141">
        <v>0</v>
      </c>
      <c r="K918" s="141">
        <v>0</v>
      </c>
      <c r="T918">
        <v>456</v>
      </c>
      <c r="U918">
        <v>456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</row>
    <row r="919" spans="1:28" ht="14.25" x14ac:dyDescent="0.2">
      <c r="C919" s="35" t="s">
        <v>88</v>
      </c>
      <c r="D919" s="3"/>
      <c r="E919" s="139">
        <v>0</v>
      </c>
      <c r="F919" s="139">
        <v>0</v>
      </c>
      <c r="G919" s="140"/>
      <c r="H919" s="140"/>
      <c r="I919" s="140">
        <v>0</v>
      </c>
      <c r="J919" s="139">
        <v>0</v>
      </c>
      <c r="K919" s="139">
        <v>0</v>
      </c>
    </row>
    <row r="920" spans="1:28" ht="133.5" x14ac:dyDescent="0.2">
      <c r="A920" s="149" t="s">
        <v>666</v>
      </c>
      <c r="B920" s="149" t="s">
        <v>1920</v>
      </c>
      <c r="C920" s="145" t="s">
        <v>1876</v>
      </c>
      <c r="D920" s="3">
        <v>1.5</v>
      </c>
      <c r="E920" s="141">
        <v>1731</v>
      </c>
      <c r="F920" s="141">
        <v>524.16</v>
      </c>
      <c r="G920" s="140">
        <v>2596</v>
      </c>
      <c r="H920" s="140">
        <v>1742</v>
      </c>
      <c r="I920" s="142">
        <v>786</v>
      </c>
      <c r="J920" s="141">
        <v>120.74999999999999</v>
      </c>
      <c r="K920" s="141">
        <v>181.12499999999997</v>
      </c>
      <c r="T920">
        <v>6030</v>
      </c>
      <c r="U920">
        <v>68</v>
      </c>
      <c r="V920">
        <v>1742</v>
      </c>
      <c r="W920">
        <v>786</v>
      </c>
      <c r="X920">
        <v>107</v>
      </c>
      <c r="Y920">
        <v>181.12499999999997</v>
      </c>
      <c r="Z920">
        <v>7.9874999999999989</v>
      </c>
      <c r="AA920">
        <v>2130</v>
      </c>
      <c r="AB920">
        <v>1304</v>
      </c>
    </row>
    <row r="921" spans="1:28" ht="14.25" x14ac:dyDescent="0.2">
      <c r="C921" s="35" t="s">
        <v>169</v>
      </c>
      <c r="D921" s="3"/>
      <c r="E921" s="139">
        <v>1161.6199999999999</v>
      </c>
      <c r="F921" s="139">
        <v>71.430000000000007</v>
      </c>
      <c r="G921" s="140"/>
      <c r="H921" s="140"/>
      <c r="I921" s="140">
        <v>107</v>
      </c>
      <c r="J921" s="139">
        <v>5.3249999999999993</v>
      </c>
      <c r="K921" s="139">
        <v>7.9874999999999989</v>
      </c>
    </row>
    <row r="922" spans="1:28" x14ac:dyDescent="0.2">
      <c r="C922" s="36" t="s">
        <v>664</v>
      </c>
    </row>
    <row r="923" spans="1:28" x14ac:dyDescent="0.2">
      <c r="C923" s="20" t="s">
        <v>89</v>
      </c>
      <c r="D923" s="37">
        <v>128</v>
      </c>
      <c r="E923" s="144">
        <v>1420.4735999999998</v>
      </c>
      <c r="F923" s="37" t="s">
        <v>330</v>
      </c>
      <c r="G923" s="143">
        <v>2130</v>
      </c>
      <c r="H923" s="37" t="s">
        <v>331</v>
      </c>
      <c r="I923" s="37"/>
      <c r="J923" s="37"/>
      <c r="K923" s="37"/>
    </row>
    <row r="924" spans="1:28" x14ac:dyDescent="0.2">
      <c r="C924" s="20" t="s">
        <v>92</v>
      </c>
      <c r="D924" s="37">
        <v>83</v>
      </c>
      <c r="E924" s="144">
        <v>869.91677499999992</v>
      </c>
      <c r="F924" s="37" t="s">
        <v>332</v>
      </c>
      <c r="G924" s="143">
        <v>1304</v>
      </c>
      <c r="H924" s="37" t="s">
        <v>333</v>
      </c>
      <c r="I924" s="37"/>
      <c r="J924" s="37"/>
      <c r="K924" s="37"/>
    </row>
    <row r="925" spans="1:28" x14ac:dyDescent="0.2">
      <c r="C925" s="20" t="s">
        <v>95</v>
      </c>
      <c r="D925" s="37"/>
      <c r="E925" s="144">
        <v>4021.3903749999999</v>
      </c>
      <c r="F925" s="37"/>
      <c r="G925" s="143">
        <v>6030</v>
      </c>
      <c r="H925" s="37"/>
      <c r="I925" s="37"/>
      <c r="J925" s="37"/>
      <c r="K925" s="37"/>
    </row>
    <row r="926" spans="1:28" ht="14.25" x14ac:dyDescent="0.2">
      <c r="A926" s="149" t="s">
        <v>1921</v>
      </c>
      <c r="B926" s="149" t="s">
        <v>1146</v>
      </c>
      <c r="C926" s="145" t="s">
        <v>378</v>
      </c>
      <c r="D926" s="3">
        <v>140.69999999999999</v>
      </c>
      <c r="E926" s="141">
        <v>0</v>
      </c>
      <c r="F926" s="141">
        <v>0</v>
      </c>
      <c r="G926" s="140">
        <v>0</v>
      </c>
      <c r="H926" s="140">
        <v>0</v>
      </c>
      <c r="I926" s="142">
        <v>0</v>
      </c>
      <c r="J926" s="141">
        <v>0</v>
      </c>
      <c r="K926" s="141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</row>
    <row r="927" spans="1:28" ht="14.25" x14ac:dyDescent="0.2">
      <c r="C927" s="35" t="s">
        <v>171</v>
      </c>
      <c r="D927" s="3"/>
      <c r="E927" s="139">
        <v>0</v>
      </c>
      <c r="F927" s="139">
        <v>0</v>
      </c>
      <c r="G927" s="140"/>
      <c r="H927" s="140"/>
      <c r="I927" s="140">
        <v>0</v>
      </c>
      <c r="J927" s="139">
        <v>0</v>
      </c>
      <c r="K927" s="139">
        <v>0</v>
      </c>
    </row>
    <row r="928" spans="1:28" ht="39.75" x14ac:dyDescent="0.2">
      <c r="A928" s="149" t="s">
        <v>668</v>
      </c>
      <c r="B928" s="149" t="s">
        <v>1146</v>
      </c>
      <c r="C928" s="145" t="s">
        <v>1875</v>
      </c>
      <c r="D928" s="3">
        <v>140.69999999999999</v>
      </c>
      <c r="E928" s="141">
        <v>676.76</v>
      </c>
      <c r="F928" s="141">
        <v>0</v>
      </c>
      <c r="G928" s="140">
        <v>95220</v>
      </c>
      <c r="H928" s="140">
        <v>0</v>
      </c>
      <c r="I928" s="142">
        <v>0</v>
      </c>
      <c r="J928" s="141">
        <v>0</v>
      </c>
      <c r="K928" s="141">
        <v>0</v>
      </c>
      <c r="T928">
        <v>95220</v>
      </c>
      <c r="U928">
        <v>95220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</row>
    <row r="929" spans="1:28" ht="14.25" x14ac:dyDescent="0.2">
      <c r="C929" s="35" t="s">
        <v>171</v>
      </c>
      <c r="D929" s="3"/>
      <c r="E929" s="139">
        <v>0</v>
      </c>
      <c r="F929" s="139">
        <v>0</v>
      </c>
      <c r="G929" s="140"/>
      <c r="H929" s="140"/>
      <c r="I929" s="140">
        <v>0</v>
      </c>
      <c r="J929" s="139">
        <v>0</v>
      </c>
      <c r="K929" s="139">
        <v>0</v>
      </c>
    </row>
    <row r="930" spans="1:28" ht="99.75" x14ac:dyDescent="0.2">
      <c r="A930" s="149" t="s">
        <v>669</v>
      </c>
      <c r="B930" s="149" t="s">
        <v>1922</v>
      </c>
      <c r="C930" s="145" t="s">
        <v>667</v>
      </c>
      <c r="D930" s="3">
        <v>8</v>
      </c>
      <c r="E930" s="141">
        <v>82.2</v>
      </c>
      <c r="F930" s="141">
        <v>0</v>
      </c>
      <c r="G930" s="140">
        <v>658</v>
      </c>
      <c r="H930" s="140">
        <v>0</v>
      </c>
      <c r="I930" s="142">
        <v>0</v>
      </c>
      <c r="J930" s="141">
        <v>0</v>
      </c>
      <c r="K930" s="141">
        <v>0</v>
      </c>
      <c r="T930">
        <v>658</v>
      </c>
      <c r="U930">
        <v>658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</row>
    <row r="931" spans="1:28" ht="14.25" x14ac:dyDescent="0.2">
      <c r="C931" s="35" t="s">
        <v>158</v>
      </c>
      <c r="D931" s="3"/>
      <c r="E931" s="139">
        <v>0</v>
      </c>
      <c r="F931" s="139">
        <v>0</v>
      </c>
      <c r="G931" s="140"/>
      <c r="H931" s="140"/>
      <c r="I931" s="140">
        <v>0</v>
      </c>
      <c r="J931" s="139">
        <v>0</v>
      </c>
      <c r="K931" s="139">
        <v>0</v>
      </c>
    </row>
    <row r="932" spans="1:28" ht="133.5" x14ac:dyDescent="0.2">
      <c r="A932" s="149" t="s">
        <v>671</v>
      </c>
      <c r="B932" s="149" t="s">
        <v>1659</v>
      </c>
      <c r="C932" s="145" t="s">
        <v>1874</v>
      </c>
      <c r="D932" s="3">
        <v>1.5</v>
      </c>
      <c r="E932" s="141">
        <v>127</v>
      </c>
      <c r="F932" s="141">
        <v>55.64</v>
      </c>
      <c r="G932" s="140">
        <v>190</v>
      </c>
      <c r="H932" s="140">
        <v>101</v>
      </c>
      <c r="I932" s="142">
        <v>83</v>
      </c>
      <c r="J932" s="141">
        <v>5.761499999999999</v>
      </c>
      <c r="K932" s="141">
        <v>8.6422499999999989</v>
      </c>
      <c r="T932">
        <v>377</v>
      </c>
      <c r="U932">
        <v>6</v>
      </c>
      <c r="V932">
        <v>101</v>
      </c>
      <c r="W932">
        <v>83</v>
      </c>
      <c r="X932">
        <v>0</v>
      </c>
      <c r="Y932">
        <v>8.6422499999999989</v>
      </c>
      <c r="Z932">
        <v>0</v>
      </c>
      <c r="AA932">
        <v>116</v>
      </c>
      <c r="AB932">
        <v>71</v>
      </c>
    </row>
    <row r="933" spans="1:28" ht="14.25" x14ac:dyDescent="0.2">
      <c r="C933" s="35" t="s">
        <v>169</v>
      </c>
      <c r="D933" s="3"/>
      <c r="E933" s="139">
        <v>67.069999999999993</v>
      </c>
      <c r="F933" s="139">
        <v>0</v>
      </c>
      <c r="G933" s="140"/>
      <c r="H933" s="140"/>
      <c r="I933" s="140">
        <v>0</v>
      </c>
      <c r="J933" s="139">
        <v>0</v>
      </c>
      <c r="K933" s="139">
        <v>0</v>
      </c>
    </row>
    <row r="934" spans="1:28" x14ac:dyDescent="0.2">
      <c r="C934" s="36" t="s">
        <v>664</v>
      </c>
    </row>
    <row r="935" spans="1:28" x14ac:dyDescent="0.2">
      <c r="C935" s="20" t="s">
        <v>89</v>
      </c>
      <c r="D935" s="37">
        <v>128</v>
      </c>
      <c r="E935" s="144">
        <v>77.264639999999986</v>
      </c>
      <c r="F935" s="37" t="s">
        <v>330</v>
      </c>
      <c r="G935" s="143">
        <v>116</v>
      </c>
      <c r="H935" s="37" t="s">
        <v>331</v>
      </c>
      <c r="I935" s="37"/>
      <c r="J935" s="37"/>
      <c r="K935" s="37"/>
    </row>
    <row r="936" spans="1:28" x14ac:dyDescent="0.2">
      <c r="C936" s="20" t="s">
        <v>92</v>
      </c>
      <c r="D936" s="37">
        <v>83</v>
      </c>
      <c r="E936" s="144">
        <v>47.317884999999997</v>
      </c>
      <c r="F936" s="37" t="s">
        <v>332</v>
      </c>
      <c r="G936" s="143">
        <v>71</v>
      </c>
      <c r="H936" s="37" t="s">
        <v>333</v>
      </c>
      <c r="I936" s="37"/>
      <c r="J936" s="37"/>
      <c r="K936" s="37"/>
    </row>
    <row r="937" spans="1:28" x14ac:dyDescent="0.2">
      <c r="C937" s="20" t="s">
        <v>95</v>
      </c>
      <c r="D937" s="37"/>
      <c r="E937" s="144">
        <v>251.58252499999998</v>
      </c>
      <c r="F937" s="37"/>
      <c r="G937" s="143">
        <v>377</v>
      </c>
      <c r="H937" s="37"/>
      <c r="I937" s="37"/>
      <c r="J937" s="37"/>
      <c r="K937" s="37"/>
    </row>
    <row r="938" spans="1:28" ht="119.25" x14ac:dyDescent="0.2">
      <c r="A938" s="149" t="s">
        <v>673</v>
      </c>
      <c r="B938" s="149" t="s">
        <v>1923</v>
      </c>
      <c r="C938" s="145" t="s">
        <v>1873</v>
      </c>
      <c r="D938" s="3">
        <v>5.7000000000000002E-2</v>
      </c>
      <c r="E938" s="141">
        <v>1434.9</v>
      </c>
      <c r="F938" s="141">
        <v>359.99</v>
      </c>
      <c r="G938" s="140">
        <v>83</v>
      </c>
      <c r="H938" s="140">
        <v>48</v>
      </c>
      <c r="I938" s="142">
        <v>21</v>
      </c>
      <c r="J938" s="141">
        <v>92.252999999999986</v>
      </c>
      <c r="K938" s="141">
        <v>5.2584209999999993</v>
      </c>
      <c r="T938">
        <v>157</v>
      </c>
      <c r="U938">
        <v>14</v>
      </c>
      <c r="V938">
        <v>48</v>
      </c>
      <c r="W938">
        <v>21</v>
      </c>
      <c r="X938">
        <v>0</v>
      </c>
      <c r="Y938">
        <v>5.2584209999999993</v>
      </c>
      <c r="Z938">
        <v>1.9237500000000001E-2</v>
      </c>
      <c r="AA938">
        <v>39</v>
      </c>
      <c r="AB938">
        <v>35</v>
      </c>
    </row>
    <row r="939" spans="1:28" ht="14.25" x14ac:dyDescent="0.2">
      <c r="C939" s="35" t="s">
        <v>99</v>
      </c>
      <c r="D939" s="3"/>
      <c r="E939" s="139">
        <v>836.74</v>
      </c>
      <c r="F939" s="139">
        <v>4.1900000000000004</v>
      </c>
      <c r="G939" s="140"/>
      <c r="H939" s="140"/>
      <c r="I939" s="140">
        <v>0</v>
      </c>
      <c r="J939" s="139">
        <v>0.33750000000000002</v>
      </c>
      <c r="K939" s="139">
        <v>1.9237500000000001E-2</v>
      </c>
    </row>
    <row r="940" spans="1:28" x14ac:dyDescent="0.2">
      <c r="C940" s="36" t="s">
        <v>670</v>
      </c>
    </row>
    <row r="941" spans="1:28" x14ac:dyDescent="0.2">
      <c r="C941" s="20" t="s">
        <v>89</v>
      </c>
      <c r="D941" s="37">
        <v>90</v>
      </c>
      <c r="E941" s="144">
        <v>681.15330000000006</v>
      </c>
      <c r="F941" s="37" t="s">
        <v>101</v>
      </c>
      <c r="G941" s="143">
        <v>39</v>
      </c>
      <c r="H941" s="37" t="s">
        <v>102</v>
      </c>
      <c r="I941" s="37"/>
      <c r="J941" s="37"/>
      <c r="K941" s="37"/>
    </row>
    <row r="942" spans="1:28" x14ac:dyDescent="0.2">
      <c r="C942" s="20" t="s">
        <v>92</v>
      </c>
      <c r="D942" s="37">
        <v>85</v>
      </c>
      <c r="E942" s="144">
        <v>607.57192500000008</v>
      </c>
      <c r="F942" s="37" t="s">
        <v>103</v>
      </c>
      <c r="G942" s="143">
        <v>35</v>
      </c>
      <c r="H942" s="37" t="s">
        <v>104</v>
      </c>
      <c r="I942" s="37"/>
      <c r="J942" s="37"/>
      <c r="K942" s="37"/>
    </row>
    <row r="943" spans="1:28" x14ac:dyDescent="0.2">
      <c r="C943" s="20" t="s">
        <v>95</v>
      </c>
      <c r="D943" s="37"/>
      <c r="E943" s="144">
        <v>2723.6252250000002</v>
      </c>
      <c r="F943" s="37"/>
      <c r="G943" s="143">
        <v>157</v>
      </c>
      <c r="H943" s="37"/>
      <c r="I943" s="37"/>
      <c r="J943" s="37"/>
      <c r="K943" s="37"/>
    </row>
    <row r="944" spans="1:28" ht="14.25" x14ac:dyDescent="0.2">
      <c r="A944" s="149" t="s">
        <v>1924</v>
      </c>
      <c r="B944" s="149" t="s">
        <v>1146</v>
      </c>
      <c r="C944" s="145" t="s">
        <v>147</v>
      </c>
      <c r="D944" s="3">
        <v>5.7000000000000002E-2</v>
      </c>
      <c r="E944" s="141">
        <v>0</v>
      </c>
      <c r="F944" s="141">
        <v>0</v>
      </c>
      <c r="G944" s="140">
        <v>0</v>
      </c>
      <c r="H944" s="140">
        <v>0</v>
      </c>
      <c r="I944" s="142">
        <v>0</v>
      </c>
      <c r="J944" s="141">
        <v>0</v>
      </c>
      <c r="K944" s="141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</row>
    <row r="945" spans="1:28" ht="14.25" x14ac:dyDescent="0.2">
      <c r="C945" s="35" t="s">
        <v>99</v>
      </c>
      <c r="D945" s="3"/>
      <c r="E945" s="139">
        <v>0</v>
      </c>
      <c r="F945" s="139">
        <v>0</v>
      </c>
      <c r="G945" s="140"/>
      <c r="H945" s="140"/>
      <c r="I945" s="140">
        <v>0</v>
      </c>
      <c r="J945" s="139">
        <v>0</v>
      </c>
      <c r="K945" s="139">
        <v>0</v>
      </c>
    </row>
    <row r="946" spans="1:28" ht="99.75" x14ac:dyDescent="0.2">
      <c r="A946" s="149" t="s">
        <v>676</v>
      </c>
      <c r="B946" s="149" t="s">
        <v>1925</v>
      </c>
      <c r="C946" s="145" t="s">
        <v>653</v>
      </c>
      <c r="D946" s="3">
        <v>5.3999999999999999E-2</v>
      </c>
      <c r="E946" s="141">
        <v>11498</v>
      </c>
      <c r="F946" s="141">
        <v>0</v>
      </c>
      <c r="G946" s="140">
        <v>621</v>
      </c>
      <c r="H946" s="140">
        <v>0</v>
      </c>
      <c r="I946" s="142">
        <v>0</v>
      </c>
      <c r="J946" s="141">
        <v>0</v>
      </c>
      <c r="K946" s="141">
        <v>0</v>
      </c>
      <c r="T946">
        <v>621</v>
      </c>
      <c r="U946">
        <v>621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</row>
    <row r="947" spans="1:28" ht="14.25" x14ac:dyDescent="0.2">
      <c r="C947" s="35" t="s">
        <v>99</v>
      </c>
      <c r="D947" s="3"/>
      <c r="E947" s="139">
        <v>0</v>
      </c>
      <c r="F947" s="139">
        <v>0</v>
      </c>
      <c r="G947" s="140"/>
      <c r="H947" s="140"/>
      <c r="I947" s="140">
        <v>0</v>
      </c>
      <c r="J947" s="139">
        <v>0</v>
      </c>
      <c r="K947" s="139">
        <v>0</v>
      </c>
    </row>
    <row r="948" spans="1:28" x14ac:dyDescent="0.2">
      <c r="C948" s="36" t="s">
        <v>672</v>
      </c>
    </row>
    <row r="949" spans="1:28" ht="99.75" x14ac:dyDescent="0.2">
      <c r="A949" s="149" t="s">
        <v>678</v>
      </c>
      <c r="B949" s="149" t="s">
        <v>1926</v>
      </c>
      <c r="C949" s="145" t="s">
        <v>674</v>
      </c>
      <c r="D949" s="3">
        <v>3.0000000000000001E-3</v>
      </c>
      <c r="E949" s="141">
        <v>8559.5</v>
      </c>
      <c r="F949" s="141">
        <v>0</v>
      </c>
      <c r="G949" s="140">
        <v>26</v>
      </c>
      <c r="H949" s="140">
        <v>0</v>
      </c>
      <c r="I949" s="142">
        <v>0</v>
      </c>
      <c r="J949" s="141">
        <v>0</v>
      </c>
      <c r="K949" s="141">
        <v>0</v>
      </c>
      <c r="T949">
        <v>26</v>
      </c>
      <c r="U949">
        <v>26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</row>
    <row r="950" spans="1:28" ht="14.25" x14ac:dyDescent="0.2">
      <c r="C950" s="35" t="s">
        <v>99</v>
      </c>
      <c r="D950" s="3"/>
      <c r="E950" s="139">
        <v>0</v>
      </c>
      <c r="F950" s="139">
        <v>0</v>
      </c>
      <c r="G950" s="140"/>
      <c r="H950" s="140"/>
      <c r="I950" s="140">
        <v>0</v>
      </c>
      <c r="J950" s="139">
        <v>0</v>
      </c>
      <c r="K950" s="139">
        <v>0</v>
      </c>
    </row>
    <row r="951" spans="1:28" x14ac:dyDescent="0.2">
      <c r="C951" s="36" t="s">
        <v>675</v>
      </c>
    </row>
    <row r="952" spans="1:28" ht="105" x14ac:dyDescent="0.2">
      <c r="A952" s="149" t="s">
        <v>680</v>
      </c>
      <c r="B952" s="149" t="s">
        <v>1522</v>
      </c>
      <c r="C952" s="145" t="s">
        <v>1872</v>
      </c>
      <c r="D952" s="3">
        <v>0.14499999999999999</v>
      </c>
      <c r="E952" s="141">
        <v>763.31</v>
      </c>
      <c r="F952" s="141">
        <v>0</v>
      </c>
      <c r="G952" s="140">
        <v>111</v>
      </c>
      <c r="H952" s="140">
        <v>111</v>
      </c>
      <c r="I952" s="142">
        <v>0</v>
      </c>
      <c r="J952" s="141">
        <v>101.77499999999999</v>
      </c>
      <c r="K952" s="141">
        <v>14.757374999999998</v>
      </c>
      <c r="T952">
        <v>233</v>
      </c>
      <c r="U952">
        <v>0</v>
      </c>
      <c r="V952">
        <v>111</v>
      </c>
      <c r="W952">
        <v>0</v>
      </c>
      <c r="X952">
        <v>0</v>
      </c>
      <c r="Y952">
        <v>14.757374999999998</v>
      </c>
      <c r="Z952">
        <v>0</v>
      </c>
      <c r="AA952">
        <v>80</v>
      </c>
      <c r="AB952">
        <v>42</v>
      </c>
    </row>
    <row r="953" spans="1:28" ht="14.25" x14ac:dyDescent="0.2">
      <c r="C953" s="35" t="s">
        <v>208</v>
      </c>
      <c r="D953" s="3"/>
      <c r="E953" s="139">
        <v>763.31</v>
      </c>
      <c r="F953" s="139">
        <v>0</v>
      </c>
      <c r="G953" s="140"/>
      <c r="H953" s="140"/>
      <c r="I953" s="140">
        <v>0</v>
      </c>
      <c r="J953" s="139">
        <v>0</v>
      </c>
      <c r="K953" s="139">
        <v>0</v>
      </c>
    </row>
    <row r="954" spans="1:28" x14ac:dyDescent="0.2">
      <c r="C954" s="36" t="s">
        <v>677</v>
      </c>
    </row>
    <row r="955" spans="1:28" x14ac:dyDescent="0.2">
      <c r="C955" s="20" t="s">
        <v>89</v>
      </c>
      <c r="D955" s="37">
        <v>80</v>
      </c>
      <c r="E955" s="144">
        <v>549.58319999999992</v>
      </c>
      <c r="F955" s="37" t="s">
        <v>209</v>
      </c>
      <c r="G955" s="143">
        <v>80</v>
      </c>
      <c r="H955" s="37" t="s">
        <v>207</v>
      </c>
      <c r="I955" s="37"/>
      <c r="J955" s="37"/>
      <c r="K955" s="37"/>
    </row>
    <row r="956" spans="1:28" x14ac:dyDescent="0.2">
      <c r="C956" s="20" t="s">
        <v>92</v>
      </c>
      <c r="D956" s="37">
        <v>45</v>
      </c>
      <c r="E956" s="144">
        <v>291.96607499999999</v>
      </c>
      <c r="F956" s="37" t="s">
        <v>210</v>
      </c>
      <c r="G956" s="143">
        <v>42</v>
      </c>
      <c r="H956" s="37" t="s">
        <v>211</v>
      </c>
      <c r="I956" s="37"/>
      <c r="J956" s="37"/>
      <c r="K956" s="37"/>
    </row>
    <row r="957" spans="1:28" x14ac:dyDescent="0.2">
      <c r="C957" s="20" t="s">
        <v>95</v>
      </c>
      <c r="D957" s="37"/>
      <c r="E957" s="144">
        <v>1604.8592749999998</v>
      </c>
      <c r="F957" s="37"/>
      <c r="G957" s="143">
        <v>233</v>
      </c>
      <c r="H957" s="37"/>
      <c r="I957" s="37"/>
      <c r="J957" s="37"/>
      <c r="K957" s="37"/>
    </row>
    <row r="958" spans="1:28" ht="99.75" x14ac:dyDescent="0.2">
      <c r="A958" s="149" t="s">
        <v>682</v>
      </c>
      <c r="B958" s="149" t="s">
        <v>1919</v>
      </c>
      <c r="C958" s="145" t="s">
        <v>214</v>
      </c>
      <c r="D958" s="3">
        <v>15.95</v>
      </c>
      <c r="E958" s="141">
        <v>55.26</v>
      </c>
      <c r="F958" s="141">
        <v>0</v>
      </c>
      <c r="G958" s="140">
        <v>881</v>
      </c>
      <c r="H958" s="140">
        <v>0</v>
      </c>
      <c r="I958" s="142">
        <v>0</v>
      </c>
      <c r="J958" s="141">
        <v>0</v>
      </c>
      <c r="K958" s="141">
        <v>0</v>
      </c>
      <c r="T958">
        <v>881</v>
      </c>
      <c r="U958">
        <v>881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</row>
    <row r="959" spans="1:28" ht="14.25" x14ac:dyDescent="0.2">
      <c r="C959" s="35" t="s">
        <v>88</v>
      </c>
      <c r="D959" s="3"/>
      <c r="E959" s="139">
        <v>0</v>
      </c>
      <c r="F959" s="139">
        <v>0</v>
      </c>
      <c r="G959" s="140"/>
      <c r="H959" s="140"/>
      <c r="I959" s="140">
        <v>0</v>
      </c>
      <c r="J959" s="139">
        <v>0</v>
      </c>
      <c r="K959" s="139">
        <v>0</v>
      </c>
    </row>
    <row r="960" spans="1:28" x14ac:dyDescent="0.2">
      <c r="C960" s="36" t="s">
        <v>679</v>
      </c>
    </row>
    <row r="961" spans="1:28" ht="133.5" x14ac:dyDescent="0.2">
      <c r="A961" s="149" t="s">
        <v>684</v>
      </c>
      <c r="B961" s="149" t="s">
        <v>1927</v>
      </c>
      <c r="C961" s="145" t="s">
        <v>1871</v>
      </c>
      <c r="D961" s="3">
        <v>0.1</v>
      </c>
      <c r="E961" s="141">
        <v>41651.51</v>
      </c>
      <c r="F961" s="141">
        <v>972.76</v>
      </c>
      <c r="G961" s="140">
        <v>4165</v>
      </c>
      <c r="H961" s="140">
        <v>253</v>
      </c>
      <c r="I961" s="142">
        <v>97</v>
      </c>
      <c r="J961" s="141">
        <v>265.64999999999998</v>
      </c>
      <c r="K961" s="141">
        <v>26.564999999999998</v>
      </c>
      <c r="T961">
        <v>4652</v>
      </c>
      <c r="U961">
        <v>3815</v>
      </c>
      <c r="V961">
        <v>253</v>
      </c>
      <c r="W961">
        <v>97</v>
      </c>
      <c r="X961">
        <v>9</v>
      </c>
      <c r="Y961">
        <v>26.564999999999998</v>
      </c>
      <c r="Z961">
        <v>0.75249999999999995</v>
      </c>
      <c r="AA961">
        <v>302</v>
      </c>
      <c r="AB961">
        <v>185</v>
      </c>
    </row>
    <row r="962" spans="1:28" ht="14.25" x14ac:dyDescent="0.2">
      <c r="C962" s="35" t="s">
        <v>169</v>
      </c>
      <c r="D962" s="3"/>
      <c r="E962" s="139">
        <v>2526.33</v>
      </c>
      <c r="F962" s="139">
        <v>92.03</v>
      </c>
      <c r="G962" s="140"/>
      <c r="H962" s="140"/>
      <c r="I962" s="140">
        <v>9</v>
      </c>
      <c r="J962" s="139">
        <v>7.5249999999999995</v>
      </c>
      <c r="K962" s="139">
        <v>0.75249999999999995</v>
      </c>
    </row>
    <row r="963" spans="1:28" x14ac:dyDescent="0.2">
      <c r="C963" s="36" t="s">
        <v>681</v>
      </c>
    </row>
    <row r="964" spans="1:28" x14ac:dyDescent="0.2">
      <c r="C964" s="20" t="s">
        <v>89</v>
      </c>
      <c r="D964" s="37">
        <v>128</v>
      </c>
      <c r="E964" s="144">
        <v>3016.3507200000004</v>
      </c>
      <c r="F964" s="37" t="s">
        <v>330</v>
      </c>
      <c r="G964" s="143">
        <v>302</v>
      </c>
      <c r="H964" s="37" t="s">
        <v>331</v>
      </c>
      <c r="I964" s="37"/>
      <c r="J964" s="37"/>
      <c r="K964" s="37"/>
    </row>
    <row r="965" spans="1:28" x14ac:dyDescent="0.2">
      <c r="C965" s="20" t="s">
        <v>92</v>
      </c>
      <c r="D965" s="37">
        <v>83</v>
      </c>
      <c r="E965" s="144">
        <v>1847.2529800000002</v>
      </c>
      <c r="F965" s="37" t="s">
        <v>332</v>
      </c>
      <c r="G965" s="143">
        <v>185</v>
      </c>
      <c r="H965" s="37" t="s">
        <v>333</v>
      </c>
      <c r="I965" s="37"/>
      <c r="J965" s="37"/>
      <c r="K965" s="37"/>
    </row>
    <row r="966" spans="1:28" x14ac:dyDescent="0.2">
      <c r="C966" s="20" t="s">
        <v>95</v>
      </c>
      <c r="D966" s="37"/>
      <c r="E966" s="144">
        <v>46515.113700000002</v>
      </c>
      <c r="F966" s="37"/>
      <c r="G966" s="143">
        <v>4652</v>
      </c>
      <c r="H966" s="37"/>
      <c r="I966" s="37"/>
      <c r="J966" s="37"/>
      <c r="K966" s="37"/>
    </row>
    <row r="967" spans="1:28" ht="133.5" x14ac:dyDescent="0.2">
      <c r="A967" s="149" t="s">
        <v>686</v>
      </c>
      <c r="B967" s="149" t="s">
        <v>1928</v>
      </c>
      <c r="C967" s="145" t="s">
        <v>1870</v>
      </c>
      <c r="D967" s="3">
        <v>0.01</v>
      </c>
      <c r="E967" s="141">
        <v>29918.58</v>
      </c>
      <c r="F967" s="141">
        <v>747.27</v>
      </c>
      <c r="G967" s="140">
        <v>299</v>
      </c>
      <c r="H967" s="140">
        <v>22</v>
      </c>
      <c r="I967" s="142">
        <v>7</v>
      </c>
      <c r="J967" s="141">
        <v>227.7</v>
      </c>
      <c r="K967" s="141">
        <v>2.2770000000000001</v>
      </c>
      <c r="T967">
        <v>341</v>
      </c>
      <c r="U967">
        <v>270</v>
      </c>
      <c r="V967">
        <v>22</v>
      </c>
      <c r="W967">
        <v>7</v>
      </c>
      <c r="X967">
        <v>1</v>
      </c>
      <c r="Y967">
        <v>2.2770000000000001</v>
      </c>
      <c r="Z967">
        <v>5.2749999999999998E-2</v>
      </c>
      <c r="AA967">
        <v>26</v>
      </c>
      <c r="AB967">
        <v>16</v>
      </c>
    </row>
    <row r="968" spans="1:28" ht="14.25" x14ac:dyDescent="0.2">
      <c r="C968" s="35" t="s">
        <v>169</v>
      </c>
      <c r="D968" s="3"/>
      <c r="E968" s="139">
        <v>2165.4299999999998</v>
      </c>
      <c r="F968" s="139">
        <v>64.930000000000007</v>
      </c>
      <c r="G968" s="140"/>
      <c r="H968" s="140"/>
      <c r="I968" s="140">
        <v>1</v>
      </c>
      <c r="J968" s="139">
        <v>5.2749999999999995</v>
      </c>
      <c r="K968" s="139">
        <v>5.2749999999999998E-2</v>
      </c>
    </row>
    <row r="969" spans="1:28" x14ac:dyDescent="0.2">
      <c r="C969" s="36" t="s">
        <v>683</v>
      </c>
    </row>
    <row r="970" spans="1:28" x14ac:dyDescent="0.2">
      <c r="C970" s="20" t="s">
        <v>89</v>
      </c>
      <c r="D970" s="37">
        <v>128</v>
      </c>
      <c r="E970" s="144">
        <v>2569.3747199999998</v>
      </c>
      <c r="F970" s="37" t="s">
        <v>330</v>
      </c>
      <c r="G970" s="143">
        <v>26</v>
      </c>
      <c r="H970" s="37" t="s">
        <v>331</v>
      </c>
      <c r="I970" s="37"/>
      <c r="J970" s="37"/>
      <c r="K970" s="37"/>
    </row>
    <row r="971" spans="1:28" x14ac:dyDescent="0.2">
      <c r="C971" s="20" t="s">
        <v>92</v>
      </c>
      <c r="D971" s="37">
        <v>83</v>
      </c>
      <c r="E971" s="144">
        <v>1573.5189799999996</v>
      </c>
      <c r="F971" s="37" t="s">
        <v>332</v>
      </c>
      <c r="G971" s="143">
        <v>16</v>
      </c>
      <c r="H971" s="37" t="s">
        <v>333</v>
      </c>
      <c r="I971" s="37"/>
      <c r="J971" s="37"/>
      <c r="K971" s="37"/>
    </row>
    <row r="972" spans="1:28" x14ac:dyDescent="0.2">
      <c r="C972" s="20" t="s">
        <v>95</v>
      </c>
      <c r="D972" s="37"/>
      <c r="E972" s="144">
        <v>34061.473700000002</v>
      </c>
      <c r="F972" s="37"/>
      <c r="G972" s="143">
        <v>341</v>
      </c>
      <c r="H972" s="37"/>
      <c r="I972" s="37"/>
      <c r="J972" s="37"/>
      <c r="K972" s="37"/>
    </row>
    <row r="973" spans="1:28" ht="147.75" x14ac:dyDescent="0.2">
      <c r="A973" s="149" t="s">
        <v>1929</v>
      </c>
      <c r="B973" s="149" t="s">
        <v>1930</v>
      </c>
      <c r="C973" s="145" t="s">
        <v>1869</v>
      </c>
      <c r="D973" s="3">
        <v>1.4999999999999999E-2</v>
      </c>
      <c r="E973" s="141">
        <v>25711.31</v>
      </c>
      <c r="F973" s="141">
        <v>11128.63</v>
      </c>
      <c r="G973" s="140">
        <v>386</v>
      </c>
      <c r="H973" s="140">
        <v>58</v>
      </c>
      <c r="I973" s="142">
        <v>167</v>
      </c>
      <c r="J973" s="141">
        <v>410.54999999999995</v>
      </c>
      <c r="K973" s="141">
        <v>6.1582499999999989</v>
      </c>
      <c r="T973">
        <v>513</v>
      </c>
      <c r="U973">
        <v>161</v>
      </c>
      <c r="V973">
        <v>58</v>
      </c>
      <c r="W973">
        <v>167</v>
      </c>
      <c r="X973">
        <v>8</v>
      </c>
      <c r="Y973">
        <v>6.1582499999999989</v>
      </c>
      <c r="Z973">
        <v>0.53062500000000001</v>
      </c>
      <c r="AA973">
        <v>77</v>
      </c>
      <c r="AB973">
        <v>50</v>
      </c>
    </row>
    <row r="974" spans="1:28" ht="14.25" x14ac:dyDescent="0.2">
      <c r="C974" s="35" t="s">
        <v>398</v>
      </c>
      <c r="D974" s="3"/>
      <c r="E974" s="139">
        <v>3859.17</v>
      </c>
      <c r="F974" s="139">
        <v>506.85</v>
      </c>
      <c r="G974" s="140"/>
      <c r="H974" s="140"/>
      <c r="I974" s="140">
        <v>8</v>
      </c>
      <c r="J974" s="139">
        <v>35.375</v>
      </c>
      <c r="K974" s="139">
        <v>0.53062500000000001</v>
      </c>
    </row>
    <row r="975" spans="1:28" x14ac:dyDescent="0.2">
      <c r="C975" s="20" t="s">
        <v>89</v>
      </c>
      <c r="D975" s="37">
        <v>130</v>
      </c>
      <c r="E975" s="144">
        <v>5108.2434000000003</v>
      </c>
      <c r="F975" s="37" t="s">
        <v>121</v>
      </c>
      <c r="G975" s="143">
        <v>77</v>
      </c>
      <c r="H975" s="37" t="s">
        <v>122</v>
      </c>
      <c r="I975" s="37"/>
      <c r="J975" s="37"/>
      <c r="K975" s="37"/>
    </row>
    <row r="976" spans="1:28" x14ac:dyDescent="0.2">
      <c r="C976" s="20" t="s">
        <v>92</v>
      </c>
      <c r="D976" s="37">
        <v>89</v>
      </c>
      <c r="E976" s="144">
        <v>3302.8941300000006</v>
      </c>
      <c r="F976" s="37" t="s">
        <v>348</v>
      </c>
      <c r="G976" s="143">
        <v>50</v>
      </c>
      <c r="H976" s="37" t="s">
        <v>349</v>
      </c>
      <c r="I976" s="37"/>
      <c r="J976" s="37"/>
      <c r="K976" s="37"/>
    </row>
    <row r="977" spans="1:33" x14ac:dyDescent="0.2">
      <c r="C977" s="20" t="s">
        <v>95</v>
      </c>
      <c r="D977" s="37"/>
      <c r="E977" s="144">
        <v>34122.447530000005</v>
      </c>
      <c r="F977" s="37"/>
      <c r="G977" s="143">
        <v>513</v>
      </c>
      <c r="H977" s="37"/>
      <c r="I977" s="37"/>
      <c r="J977" s="37"/>
      <c r="K977" s="37"/>
    </row>
    <row r="978" spans="1:33" ht="14.25" x14ac:dyDescent="0.2">
      <c r="A978" s="149" t="s">
        <v>1931</v>
      </c>
      <c r="B978" s="149" t="s">
        <v>1146</v>
      </c>
      <c r="C978" s="145" t="s">
        <v>685</v>
      </c>
      <c r="D978" s="3">
        <v>0.1482</v>
      </c>
      <c r="E978" s="141">
        <v>0</v>
      </c>
      <c r="F978" s="141">
        <v>0</v>
      </c>
      <c r="G978" s="140">
        <v>0</v>
      </c>
      <c r="H978" s="140">
        <v>0</v>
      </c>
      <c r="I978" s="142">
        <v>0</v>
      </c>
      <c r="J978" s="141">
        <v>0</v>
      </c>
      <c r="K978" s="141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</row>
    <row r="979" spans="1:33" ht="14.25" x14ac:dyDescent="0.2">
      <c r="C979" s="35" t="s">
        <v>99</v>
      </c>
      <c r="D979" s="3"/>
      <c r="E979" s="139">
        <v>0</v>
      </c>
      <c r="F979" s="139">
        <v>0</v>
      </c>
      <c r="G979" s="140"/>
      <c r="H979" s="140"/>
      <c r="I979" s="140">
        <v>0</v>
      </c>
      <c r="J979" s="139">
        <v>0</v>
      </c>
      <c r="K979" s="139">
        <v>0</v>
      </c>
    </row>
    <row r="980" spans="1:33" ht="99.75" x14ac:dyDescent="0.2">
      <c r="A980" s="149" t="s">
        <v>1932</v>
      </c>
      <c r="B980" s="149" t="s">
        <v>1933</v>
      </c>
      <c r="C980" s="145" t="s">
        <v>687</v>
      </c>
      <c r="D980" s="3">
        <v>0.14799999999999999</v>
      </c>
      <c r="E980" s="141">
        <v>3316.55</v>
      </c>
      <c r="F980" s="141">
        <v>0</v>
      </c>
      <c r="G980" s="140">
        <v>491</v>
      </c>
      <c r="H980" s="140">
        <v>0</v>
      </c>
      <c r="I980" s="142">
        <v>0</v>
      </c>
      <c r="J980" s="141">
        <v>0</v>
      </c>
      <c r="K980" s="141">
        <v>0</v>
      </c>
      <c r="T980">
        <v>491</v>
      </c>
      <c r="U980">
        <v>491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</row>
    <row r="981" spans="1:33" ht="14.25" x14ac:dyDescent="0.2">
      <c r="C981" s="35" t="s">
        <v>99</v>
      </c>
      <c r="D981" s="3"/>
      <c r="E981" s="139">
        <v>0</v>
      </c>
      <c r="F981" s="139">
        <v>0</v>
      </c>
      <c r="G981" s="140"/>
      <c r="H981" s="140"/>
      <c r="I981" s="140">
        <v>0</v>
      </c>
      <c r="J981" s="139">
        <v>0</v>
      </c>
      <c r="K981" s="139">
        <v>0</v>
      </c>
    </row>
    <row r="983" spans="1:33" ht="15" x14ac:dyDescent="0.25">
      <c r="A983" s="4"/>
      <c r="B983" s="4"/>
      <c r="C983" s="187" t="s">
        <v>688</v>
      </c>
      <c r="D983" s="187"/>
      <c r="E983" s="187"/>
      <c r="F983" s="187"/>
      <c r="G983" s="136">
        <f>IF(SUM(T903:T982)=0, "-", SUM(T903:T982))</f>
        <v>113772</v>
      </c>
      <c r="H983" s="136">
        <f>IF(SUM(V903:V982)=0, "-", SUM(V903:V982))</f>
        <v>3773</v>
      </c>
      <c r="I983" s="138">
        <f>IF(SUM(W903:W982)=0, "-", SUM(W903:W982))</f>
        <v>1188</v>
      </c>
      <c r="J983" s="136"/>
      <c r="K983" s="137">
        <f>IF(SUM(Y903:Y982)=0, "-", SUM(Y903:Y982))</f>
        <v>416.59329599999995</v>
      </c>
      <c r="AG983" s="146" t="s">
        <v>688</v>
      </c>
    </row>
    <row r="984" spans="1:33" ht="15" x14ac:dyDescent="0.25">
      <c r="A984" s="4"/>
      <c r="B984" s="4"/>
      <c r="C984" s="4"/>
      <c r="D984" s="4"/>
      <c r="E984" s="4"/>
      <c r="F984" s="4"/>
      <c r="G984" s="136"/>
      <c r="H984" s="136"/>
      <c r="I984" s="136">
        <f>IF(SUM(X903:X982)=0, "-", SUM(X903:X982))</f>
        <v>128</v>
      </c>
      <c r="J984" s="136"/>
      <c r="K984" s="135">
        <f>IF(SUM(Z903:Z982)=0, "-", SUM(Z903:Z982))</f>
        <v>9.6426124999999985</v>
      </c>
    </row>
    <row r="987" spans="1:33" ht="14.25" x14ac:dyDescent="0.2">
      <c r="C987" s="183" t="s">
        <v>127</v>
      </c>
      <c r="D987" s="183"/>
      <c r="E987" s="183"/>
      <c r="F987" s="183"/>
      <c r="G987" s="183"/>
      <c r="H987" s="172">
        <v>3773</v>
      </c>
      <c r="I987" s="172"/>
    </row>
    <row r="988" spans="1:33" ht="14.25" x14ac:dyDescent="0.2">
      <c r="C988" s="183" t="s">
        <v>128</v>
      </c>
      <c r="D988" s="183"/>
      <c r="E988" s="183"/>
      <c r="F988" s="183"/>
      <c r="G988" s="183"/>
      <c r="H988" s="172">
        <v>1188</v>
      </c>
      <c r="I988" s="172"/>
    </row>
    <row r="989" spans="1:33" ht="14.25" x14ac:dyDescent="0.2">
      <c r="C989" s="183" t="s">
        <v>129</v>
      </c>
      <c r="D989" s="183"/>
      <c r="E989" s="183"/>
      <c r="F989" s="183"/>
      <c r="G989" s="183"/>
      <c r="H989" s="172">
        <v>102687</v>
      </c>
      <c r="I989" s="172"/>
    </row>
    <row r="990" spans="1:33" ht="14.25" x14ac:dyDescent="0.2">
      <c r="C990" s="183" t="s">
        <v>130</v>
      </c>
      <c r="D990" s="183"/>
      <c r="E990" s="183"/>
      <c r="F990" s="183"/>
      <c r="G990" s="183"/>
      <c r="H990" s="172">
        <v>3842</v>
      </c>
      <c r="I990" s="172"/>
    </row>
    <row r="991" spans="1:33" ht="14.25" x14ac:dyDescent="0.2">
      <c r="C991" s="183" t="s">
        <v>131</v>
      </c>
      <c r="D991" s="183"/>
      <c r="E991" s="183"/>
      <c r="F991" s="183"/>
      <c r="G991" s="183"/>
      <c r="H991" s="172">
        <v>2282</v>
      </c>
      <c r="I991" s="172"/>
    </row>
    <row r="992" spans="1:33" ht="14.25" x14ac:dyDescent="0.2">
      <c r="C992" s="183" t="s">
        <v>134</v>
      </c>
      <c r="D992" s="183"/>
      <c r="E992" s="183"/>
      <c r="F992" s="183"/>
      <c r="G992" s="183"/>
      <c r="H992" s="172">
        <v>113772</v>
      </c>
      <c r="I992" s="172"/>
    </row>
    <row r="994" spans="1:33" ht="30" x14ac:dyDescent="0.25">
      <c r="A994" s="4"/>
      <c r="B994" s="4"/>
      <c r="C994" s="187" t="s">
        <v>689</v>
      </c>
      <c r="D994" s="187"/>
      <c r="E994" s="187"/>
      <c r="F994" s="187"/>
      <c r="G994" s="136">
        <f>IF(SUM(T24:T993)=0, "-", SUM(T24:T993))</f>
        <v>500350</v>
      </c>
      <c r="H994" s="136">
        <f>IF(SUM(V24:V993)=0, "-", SUM(V24:V993))</f>
        <v>9776</v>
      </c>
      <c r="I994" s="138">
        <f>IF(SUM(W24:W993)=0, "-", SUM(W24:W993))</f>
        <v>2175</v>
      </c>
      <c r="J994" s="136"/>
      <c r="K994" s="137">
        <f>IF(SUM(Y24:Y993)=0, "-", SUM(Y24:Y993))</f>
        <v>1080.6116029999998</v>
      </c>
      <c r="AG994" s="146" t="s">
        <v>689</v>
      </c>
    </row>
    <row r="995" spans="1:33" ht="15" x14ac:dyDescent="0.25">
      <c r="A995" s="4"/>
      <c r="B995" s="4"/>
      <c r="C995" s="4"/>
      <c r="D995" s="4"/>
      <c r="E995" s="4"/>
      <c r="F995" s="4"/>
      <c r="G995" s="136"/>
      <c r="H995" s="136"/>
      <c r="I995" s="136">
        <f>IF(SUM(X24:X993)=0, "-", SUM(X24:X993))</f>
        <v>205</v>
      </c>
      <c r="J995" s="136"/>
      <c r="K995" s="135">
        <f>IF(SUM(Z24:Z993)=0, "-", SUM(Z24:Z993))</f>
        <v>16.505556874999996</v>
      </c>
    </row>
    <row r="998" spans="1:33" ht="14.25" x14ac:dyDescent="0.2">
      <c r="C998" s="183" t="s">
        <v>127</v>
      </c>
      <c r="D998" s="183"/>
      <c r="E998" s="183"/>
      <c r="F998" s="183"/>
      <c r="G998" s="183"/>
      <c r="H998" s="172">
        <v>9776</v>
      </c>
      <c r="I998" s="172"/>
    </row>
    <row r="999" spans="1:33" ht="14.25" x14ac:dyDescent="0.2">
      <c r="C999" s="183" t="s">
        <v>128</v>
      </c>
      <c r="D999" s="183"/>
      <c r="E999" s="183"/>
      <c r="F999" s="183"/>
      <c r="G999" s="183"/>
      <c r="H999" s="172">
        <v>2175</v>
      </c>
      <c r="I999" s="172"/>
    </row>
    <row r="1000" spans="1:33" ht="14.25" x14ac:dyDescent="0.2">
      <c r="C1000" s="183" t="s">
        <v>129</v>
      </c>
      <c r="D1000" s="183"/>
      <c r="E1000" s="183"/>
      <c r="F1000" s="183"/>
      <c r="G1000" s="183"/>
      <c r="H1000" s="172">
        <v>471254</v>
      </c>
      <c r="I1000" s="172"/>
    </row>
    <row r="1001" spans="1:33" ht="14.25" x14ac:dyDescent="0.2">
      <c r="C1001" s="183" t="s">
        <v>130</v>
      </c>
      <c r="D1001" s="183"/>
      <c r="E1001" s="183"/>
      <c r="F1001" s="183"/>
      <c r="G1001" s="183"/>
      <c r="H1001" s="172">
        <v>10642</v>
      </c>
      <c r="I1001" s="172"/>
    </row>
    <row r="1002" spans="1:33" ht="14.25" x14ac:dyDescent="0.2">
      <c r="C1002" s="183" t="s">
        <v>131</v>
      </c>
      <c r="D1002" s="183"/>
      <c r="E1002" s="183"/>
      <c r="F1002" s="183"/>
      <c r="G1002" s="183"/>
      <c r="H1002" s="172">
        <v>6503</v>
      </c>
      <c r="I1002" s="172"/>
    </row>
    <row r="1003" spans="1:33" ht="14.25" x14ac:dyDescent="0.2">
      <c r="C1003" s="183" t="s">
        <v>134</v>
      </c>
      <c r="D1003" s="183"/>
      <c r="E1003" s="183"/>
      <c r="F1003" s="183"/>
      <c r="G1003" s="183"/>
      <c r="H1003" s="172">
        <v>500350</v>
      </c>
      <c r="I1003" s="172"/>
    </row>
    <row r="1005" spans="1:33" ht="14.25" x14ac:dyDescent="0.2">
      <c r="A1005" s="173" t="s">
        <v>315</v>
      </c>
      <c r="B1005" s="173"/>
      <c r="C1005" s="151" t="s">
        <v>316</v>
      </c>
      <c r="D1005" s="31"/>
      <c r="E1005" s="31"/>
      <c r="F1005" s="31"/>
      <c r="G1005" s="31"/>
      <c r="H1005" s="31"/>
      <c r="I1005" s="150" t="s">
        <v>317</v>
      </c>
      <c r="J1005" s="3"/>
      <c r="K1005" s="3"/>
    </row>
    <row r="1006" spans="1:33" ht="14.25" x14ac:dyDescent="0.2">
      <c r="A1006" s="3"/>
      <c r="B1006" s="3"/>
      <c r="C1006" s="189" t="s">
        <v>318</v>
      </c>
      <c r="D1006" s="189"/>
      <c r="E1006" s="189"/>
      <c r="F1006" s="189"/>
      <c r="G1006" s="189"/>
      <c r="H1006" s="189"/>
      <c r="I1006" s="3"/>
      <c r="J1006" s="3"/>
      <c r="K1006" s="3"/>
    </row>
    <row r="1007" spans="1:33" ht="14.25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</row>
    <row r="1008" spans="1:33" ht="14.25" x14ac:dyDescent="0.2">
      <c r="A1008" s="173" t="s">
        <v>319</v>
      </c>
      <c r="B1008" s="173"/>
      <c r="C1008" s="151" t="s">
        <v>320</v>
      </c>
      <c r="D1008" s="31"/>
      <c r="E1008" s="31"/>
      <c r="F1008" s="31"/>
      <c r="G1008" s="31"/>
      <c r="H1008" s="31"/>
      <c r="I1008" s="150" t="s">
        <v>321</v>
      </c>
      <c r="J1008" s="3"/>
      <c r="K1008" s="3"/>
    </row>
    <row r="1009" spans="1:11" ht="14.25" x14ac:dyDescent="0.2">
      <c r="A1009" s="3"/>
      <c r="B1009" s="3"/>
      <c r="C1009" s="189" t="s">
        <v>318</v>
      </c>
      <c r="D1009" s="189"/>
      <c r="E1009" s="189"/>
      <c r="F1009" s="189"/>
      <c r="G1009" s="189"/>
      <c r="H1009" s="189"/>
      <c r="I1009" s="3"/>
      <c r="J1009" s="3"/>
      <c r="K1009" s="3"/>
    </row>
  </sheetData>
  <mergeCells count="208">
    <mergeCell ref="C1009:H1009"/>
    <mergeCell ref="F11:H11"/>
    <mergeCell ref="F12:H12"/>
    <mergeCell ref="F13:H13"/>
    <mergeCell ref="F14:H14"/>
    <mergeCell ref="C983:F983"/>
    <mergeCell ref="C987:G987"/>
    <mergeCell ref="H987:I987"/>
    <mergeCell ref="C758:G758"/>
    <mergeCell ref="H758:I758"/>
    <mergeCell ref="C759:G759"/>
    <mergeCell ref="H759:I759"/>
    <mergeCell ref="C760:G760"/>
    <mergeCell ref="H760:I760"/>
    <mergeCell ref="A762:K762"/>
    <mergeCell ref="C892:F892"/>
    <mergeCell ref="C896:G896"/>
    <mergeCell ref="H896:I896"/>
    <mergeCell ref="C897:G897"/>
    <mergeCell ref="H990:I990"/>
    <mergeCell ref="I11:J11"/>
    <mergeCell ref="I12:J12"/>
    <mergeCell ref="H706:I706"/>
    <mergeCell ref="C707:G707"/>
    <mergeCell ref="H707:I707"/>
    <mergeCell ref="H897:I897"/>
    <mergeCell ref="C709:G709"/>
    <mergeCell ref="H709:I709"/>
    <mergeCell ref="C710:G710"/>
    <mergeCell ref="H710:I710"/>
    <mergeCell ref="C991:G991"/>
    <mergeCell ref="H991:I991"/>
    <mergeCell ref="C988:G988"/>
    <mergeCell ref="H988:I988"/>
    <mergeCell ref="C989:G989"/>
    <mergeCell ref="H989:I989"/>
    <mergeCell ref="C990:G990"/>
    <mergeCell ref="C898:G898"/>
    <mergeCell ref="H898:I898"/>
    <mergeCell ref="C899:G899"/>
    <mergeCell ref="H899:I899"/>
    <mergeCell ref="C900:G900"/>
    <mergeCell ref="H900:I900"/>
    <mergeCell ref="C901:G901"/>
    <mergeCell ref="H901:I901"/>
    <mergeCell ref="A903:K903"/>
    <mergeCell ref="A1008:B1008"/>
    <mergeCell ref="H1003:I1003"/>
    <mergeCell ref="C999:G999"/>
    <mergeCell ref="H999:I999"/>
    <mergeCell ref="C1000:G1000"/>
    <mergeCell ref="C992:G992"/>
    <mergeCell ref="H992:I992"/>
    <mergeCell ref="C994:F994"/>
    <mergeCell ref="C998:G998"/>
    <mergeCell ref="H998:I998"/>
    <mergeCell ref="A1005:B1005"/>
    <mergeCell ref="C1006:H1006"/>
    <mergeCell ref="C1002:G1002"/>
    <mergeCell ref="H1002:I1002"/>
    <mergeCell ref="C1003:G1003"/>
    <mergeCell ref="H1000:I1000"/>
    <mergeCell ref="C1001:G1001"/>
    <mergeCell ref="H1001:I1001"/>
    <mergeCell ref="A712:K712"/>
    <mergeCell ref="C751:F751"/>
    <mergeCell ref="C755:G755"/>
    <mergeCell ref="H755:I755"/>
    <mergeCell ref="C756:G756"/>
    <mergeCell ref="H756:I756"/>
    <mergeCell ref="C757:G757"/>
    <mergeCell ref="H757:I757"/>
    <mergeCell ref="H604:I604"/>
    <mergeCell ref="C605:G605"/>
    <mergeCell ref="H605:I605"/>
    <mergeCell ref="C708:G708"/>
    <mergeCell ref="H708:I708"/>
    <mergeCell ref="A608:K608"/>
    <mergeCell ref="C660:F660"/>
    <mergeCell ref="C664:G664"/>
    <mergeCell ref="H664:I664"/>
    <mergeCell ref="C665:G665"/>
    <mergeCell ref="H665:I665"/>
    <mergeCell ref="C666:G666"/>
    <mergeCell ref="H666:I666"/>
    <mergeCell ref="C667:G667"/>
    <mergeCell ref="H667:I667"/>
    <mergeCell ref="C668:G668"/>
    <mergeCell ref="H668:I668"/>
    <mergeCell ref="C669:G669"/>
    <mergeCell ref="H669:I669"/>
    <mergeCell ref="A671:K671"/>
    <mergeCell ref="C701:F701"/>
    <mergeCell ref="C705:G705"/>
    <mergeCell ref="H705:I705"/>
    <mergeCell ref="C706:G706"/>
    <mergeCell ref="C440:G440"/>
    <mergeCell ref="H440:I440"/>
    <mergeCell ref="A442:K442"/>
    <mergeCell ref="C606:G606"/>
    <mergeCell ref="H606:I606"/>
    <mergeCell ref="C519:G519"/>
    <mergeCell ref="H519:I519"/>
    <mergeCell ref="C520:G520"/>
    <mergeCell ref="H520:I520"/>
    <mergeCell ref="C521:G521"/>
    <mergeCell ref="H521:I521"/>
    <mergeCell ref="C522:G522"/>
    <mergeCell ref="H522:I522"/>
    <mergeCell ref="C523:G523"/>
    <mergeCell ref="H523:I523"/>
    <mergeCell ref="A525:K525"/>
    <mergeCell ref="C597:F597"/>
    <mergeCell ref="C601:G601"/>
    <mergeCell ref="H601:I601"/>
    <mergeCell ref="C602:G602"/>
    <mergeCell ref="H602:I602"/>
    <mergeCell ref="C603:G603"/>
    <mergeCell ref="H603:I603"/>
    <mergeCell ref="C604:G604"/>
    <mergeCell ref="H370:I370"/>
    <mergeCell ref="C371:G371"/>
    <mergeCell ref="H371:I371"/>
    <mergeCell ref="C514:F514"/>
    <mergeCell ref="C518:G518"/>
    <mergeCell ref="H518:I518"/>
    <mergeCell ref="C373:G373"/>
    <mergeCell ref="H373:I373"/>
    <mergeCell ref="C374:G374"/>
    <mergeCell ref="H374:I374"/>
    <mergeCell ref="C375:G375"/>
    <mergeCell ref="H375:I375"/>
    <mergeCell ref="A377:K377"/>
    <mergeCell ref="C431:F431"/>
    <mergeCell ref="C435:G435"/>
    <mergeCell ref="H435:I435"/>
    <mergeCell ref="C436:G436"/>
    <mergeCell ref="H436:I436"/>
    <mergeCell ref="C437:G437"/>
    <mergeCell ref="H437:I437"/>
    <mergeCell ref="C438:G438"/>
    <mergeCell ref="H438:I438"/>
    <mergeCell ref="C439:G439"/>
    <mergeCell ref="H439:I439"/>
    <mergeCell ref="H144:I144"/>
    <mergeCell ref="C145:G145"/>
    <mergeCell ref="H145:I145"/>
    <mergeCell ref="C372:G372"/>
    <mergeCell ref="H372:I372"/>
    <mergeCell ref="C148:G148"/>
    <mergeCell ref="H148:I148"/>
    <mergeCell ref="A150:K150"/>
    <mergeCell ref="C264:F264"/>
    <mergeCell ref="C268:G268"/>
    <mergeCell ref="H268:I268"/>
    <mergeCell ref="C269:G269"/>
    <mergeCell ref="H269:I269"/>
    <mergeCell ref="C270:G270"/>
    <mergeCell ref="H270:I270"/>
    <mergeCell ref="C271:G271"/>
    <mergeCell ref="H271:I271"/>
    <mergeCell ref="C272:G272"/>
    <mergeCell ref="H272:I272"/>
    <mergeCell ref="C273:G273"/>
    <mergeCell ref="H273:I273"/>
    <mergeCell ref="A275:K275"/>
    <mergeCell ref="C366:F366"/>
    <mergeCell ref="C370:G370"/>
    <mergeCell ref="A3:B3"/>
    <mergeCell ref="C3:K3"/>
    <mergeCell ref="A5:K5"/>
    <mergeCell ref="A6:K6"/>
    <mergeCell ref="C146:G146"/>
    <mergeCell ref="H146:I146"/>
    <mergeCell ref="C147:G147"/>
    <mergeCell ref="H147:I147"/>
    <mergeCell ref="J17:K19"/>
    <mergeCell ref="E18:E19"/>
    <mergeCell ref="F18:F19"/>
    <mergeCell ref="G18:G21"/>
    <mergeCell ref="H18:H21"/>
    <mergeCell ref="I18:I19"/>
    <mergeCell ref="E20:E21"/>
    <mergeCell ref="F20:F21"/>
    <mergeCell ref="A24:K24"/>
    <mergeCell ref="A26:K26"/>
    <mergeCell ref="C139:F139"/>
    <mergeCell ref="C143:G143"/>
    <mergeCell ref="H143:I143"/>
    <mergeCell ref="C144:G144"/>
    <mergeCell ref="A17:A21"/>
    <mergeCell ref="B17:B21"/>
    <mergeCell ref="C17:C21"/>
    <mergeCell ref="D17:D21"/>
    <mergeCell ref="E17:F17"/>
    <mergeCell ref="G17:I17"/>
    <mergeCell ref="A8:K8"/>
    <mergeCell ref="A10:E16"/>
    <mergeCell ref="F10:H10"/>
    <mergeCell ref="I10:J10"/>
    <mergeCell ref="F15:H15"/>
    <mergeCell ref="I15:J15"/>
    <mergeCell ref="F16:H16"/>
    <mergeCell ref="I16:J16"/>
    <mergeCell ref="I20:I21"/>
    <mergeCell ref="J20:K20"/>
    <mergeCell ref="I13:J13"/>
    <mergeCell ref="I14:J14"/>
  </mergeCells>
  <pageMargins left="0.4" right="0.2" top="0.2" bottom="0.4" header="0.2" footer="0.2"/>
  <pageSetup paperSize="9" scale="60" fitToHeight="0" orientation="portrait" r:id="rId1"/>
  <headerFooter>
    <oddHeader>&amp;L&amp;8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42"/>
  <sheetViews>
    <sheetView showGridLines="0" zoomScalePageLayoutView="96" workbookViewId="0">
      <selection activeCell="E21" sqref="E21"/>
    </sheetView>
  </sheetViews>
  <sheetFormatPr defaultColWidth="9.140625" defaultRowHeight="12.75" x14ac:dyDescent="0.2"/>
  <cols>
    <col min="1" max="1" width="5" style="38" customWidth="1"/>
    <col min="2" max="2" width="13" style="39" customWidth="1"/>
    <col min="3" max="3" width="37.28515625" style="40" customWidth="1"/>
    <col min="4" max="4" width="14.28515625" style="41" customWidth="1"/>
    <col min="5" max="5" width="15" style="41" customWidth="1"/>
    <col min="6" max="6" width="11.7109375" style="41" customWidth="1"/>
    <col min="7" max="7" width="11.140625" style="41" customWidth="1"/>
    <col min="8" max="8" width="15" style="41" customWidth="1"/>
    <col min="9" max="9" width="10.85546875" style="41" customWidth="1"/>
    <col min="10" max="10" width="9.140625" style="41"/>
    <col min="11" max="11" width="9.140625" style="38"/>
    <col min="12" max="12" width="12.5703125" style="38" customWidth="1"/>
    <col min="13" max="1025" width="9.140625" style="38"/>
  </cols>
  <sheetData>
    <row r="1" spans="1:15" x14ac:dyDescent="0.2">
      <c r="D1" s="42"/>
      <c r="E1" s="42"/>
      <c r="F1" s="42"/>
      <c r="G1" s="42"/>
      <c r="H1" s="42"/>
      <c r="I1" s="42"/>
      <c r="J1" s="43" t="s">
        <v>690</v>
      </c>
    </row>
    <row r="2" spans="1:15" x14ac:dyDescent="0.2">
      <c r="A2" s="190" t="s">
        <v>691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5" x14ac:dyDescent="0.2">
      <c r="A3" s="191" t="s">
        <v>692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5" ht="38.25" customHeight="1" x14ac:dyDescent="0.25">
      <c r="A4" s="192" t="s">
        <v>322</v>
      </c>
      <c r="B4" s="192"/>
      <c r="C4" s="192"/>
      <c r="D4" s="192"/>
      <c r="E4" s="192"/>
      <c r="F4" s="192"/>
      <c r="G4" s="192"/>
      <c r="H4" s="192"/>
      <c r="I4" s="192"/>
      <c r="J4" s="192"/>
      <c r="K4" s="44"/>
      <c r="L4" s="45"/>
      <c r="M4" s="45"/>
      <c r="N4" s="45"/>
      <c r="O4" s="45"/>
    </row>
    <row r="5" spans="1:15" x14ac:dyDescent="0.2">
      <c r="A5" s="193" t="s">
        <v>693</v>
      </c>
      <c r="B5" s="193"/>
      <c r="C5" s="193"/>
      <c r="D5" s="193"/>
      <c r="E5" s="193"/>
      <c r="F5" s="193"/>
      <c r="G5" s="193"/>
      <c r="H5" s="193"/>
      <c r="I5" s="193"/>
      <c r="J5" s="193"/>
    </row>
    <row r="6" spans="1:15" x14ac:dyDescent="0.2">
      <c r="D6" s="42"/>
      <c r="E6" s="42"/>
      <c r="F6" s="42"/>
      <c r="G6" s="42"/>
      <c r="H6" s="42"/>
      <c r="I6" s="42"/>
    </row>
    <row r="7" spans="1:15" x14ac:dyDescent="0.2">
      <c r="C7" s="40" t="s">
        <v>694</v>
      </c>
      <c r="D7" s="46">
        <f>H34</f>
        <v>7724.5</v>
      </c>
      <c r="E7" s="47" t="s">
        <v>695</v>
      </c>
      <c r="F7" s="42"/>
      <c r="G7" s="42"/>
      <c r="H7" s="42"/>
      <c r="I7" s="42"/>
    </row>
    <row r="8" spans="1:15" x14ac:dyDescent="0.2">
      <c r="C8" s="40" t="s">
        <v>696</v>
      </c>
      <c r="D8" s="48"/>
      <c r="E8" s="42"/>
      <c r="F8" s="42"/>
      <c r="G8" s="42"/>
      <c r="H8" s="42"/>
      <c r="I8" s="42"/>
    </row>
    <row r="9" spans="1:15" x14ac:dyDescent="0.2">
      <c r="C9" s="40" t="s">
        <v>697</v>
      </c>
      <c r="D9" s="48"/>
      <c r="E9" s="42"/>
      <c r="F9" s="42"/>
      <c r="G9" s="42"/>
      <c r="H9" s="42"/>
      <c r="I9" s="42"/>
    </row>
    <row r="10" spans="1:15" x14ac:dyDescent="0.2">
      <c r="C10" s="40" t="s">
        <v>1341</v>
      </c>
      <c r="D10" s="49"/>
      <c r="E10" s="49"/>
      <c r="F10" s="42"/>
      <c r="G10" s="42"/>
      <c r="H10" s="42"/>
      <c r="I10" s="42"/>
    </row>
    <row r="11" spans="1:15" x14ac:dyDescent="0.2">
      <c r="D11" s="42"/>
      <c r="E11" s="42"/>
      <c r="F11" s="42"/>
      <c r="G11" s="42"/>
      <c r="H11" s="42"/>
      <c r="I11" s="42"/>
    </row>
    <row r="12" spans="1:15" ht="12.75" customHeight="1" x14ac:dyDescent="0.2">
      <c r="A12" s="194" t="s">
        <v>698</v>
      </c>
      <c r="B12" s="195" t="s">
        <v>699</v>
      </c>
      <c r="C12" s="194" t="s">
        <v>17</v>
      </c>
      <c r="D12" s="196" t="s">
        <v>700</v>
      </c>
      <c r="E12" s="196"/>
      <c r="F12" s="196"/>
      <c r="G12" s="196"/>
      <c r="H12" s="196"/>
      <c r="I12" s="197" t="s">
        <v>701</v>
      </c>
      <c r="J12" s="197" t="s">
        <v>702</v>
      </c>
    </row>
    <row r="13" spans="1:15" ht="12.75" customHeight="1" x14ac:dyDescent="0.2">
      <c r="A13" s="194"/>
      <c r="B13" s="195"/>
      <c r="C13" s="194"/>
      <c r="D13" s="197" t="s">
        <v>703</v>
      </c>
      <c r="E13" s="197" t="s">
        <v>704</v>
      </c>
      <c r="F13" s="197" t="s">
        <v>705</v>
      </c>
      <c r="G13" s="197" t="s">
        <v>706</v>
      </c>
      <c r="H13" s="197" t="s">
        <v>86</v>
      </c>
      <c r="I13" s="197"/>
      <c r="J13" s="197"/>
    </row>
    <row r="14" spans="1:15" x14ac:dyDescent="0.2">
      <c r="A14" s="194"/>
      <c r="B14" s="195"/>
      <c r="C14" s="194"/>
      <c r="D14" s="197"/>
      <c r="E14" s="197"/>
      <c r="F14" s="197"/>
      <c r="G14" s="197"/>
      <c r="H14" s="197"/>
      <c r="I14" s="197"/>
      <c r="J14" s="197"/>
    </row>
    <row r="15" spans="1:15" x14ac:dyDescent="0.2">
      <c r="A15" s="194"/>
      <c r="B15" s="195"/>
      <c r="C15" s="194"/>
      <c r="D15" s="197"/>
      <c r="E15" s="197"/>
      <c r="F15" s="197"/>
      <c r="G15" s="197"/>
      <c r="H15" s="197"/>
      <c r="I15" s="197"/>
      <c r="J15" s="197"/>
    </row>
    <row r="16" spans="1:15" x14ac:dyDescent="0.2">
      <c r="A16" s="50">
        <v>1</v>
      </c>
      <c r="B16" s="51">
        <v>2</v>
      </c>
      <c r="C16" s="52">
        <v>3</v>
      </c>
      <c r="D16" s="53">
        <v>4</v>
      </c>
      <c r="E16" s="53">
        <v>5</v>
      </c>
      <c r="F16" s="53">
        <v>6</v>
      </c>
      <c r="G16" s="53">
        <v>7</v>
      </c>
      <c r="H16" s="53">
        <v>8</v>
      </c>
      <c r="I16" s="53">
        <v>9</v>
      </c>
      <c r="J16" s="53">
        <v>10</v>
      </c>
    </row>
    <row r="17" spans="1:10" ht="12.75" customHeight="1" x14ac:dyDescent="0.2">
      <c r="A17" s="200" t="s">
        <v>707</v>
      </c>
      <c r="B17" s="200"/>
      <c r="C17" s="200"/>
      <c r="D17" s="200"/>
      <c r="E17" s="200"/>
      <c r="F17" s="200"/>
      <c r="G17" s="200"/>
      <c r="H17" s="200"/>
      <c r="I17" s="200"/>
      <c r="J17" s="200"/>
    </row>
    <row r="18" spans="1:10" x14ac:dyDescent="0.2">
      <c r="A18" s="200"/>
      <c r="B18" s="200"/>
      <c r="C18" s="200"/>
      <c r="D18" s="200"/>
      <c r="E18" s="200"/>
      <c r="F18" s="200"/>
      <c r="G18" s="200"/>
      <c r="H18" s="200"/>
      <c r="I18" s="200"/>
      <c r="J18" s="200"/>
    </row>
    <row r="19" spans="1:10" x14ac:dyDescent="0.2">
      <c r="A19" s="54">
        <v>1</v>
      </c>
      <c r="B19" s="55" t="s">
        <v>708</v>
      </c>
      <c r="C19" s="56" t="s">
        <v>709</v>
      </c>
      <c r="D19" s="57">
        <v>588.89</v>
      </c>
      <c r="E19" s="58"/>
      <c r="F19" s="58"/>
      <c r="G19" s="58"/>
      <c r="H19" s="57">
        <f>SUM(D19:G19)</f>
        <v>588.89</v>
      </c>
      <c r="I19" s="59"/>
      <c r="J19" s="59"/>
    </row>
    <row r="20" spans="1:10" x14ac:dyDescent="0.2">
      <c r="A20" s="54">
        <v>2</v>
      </c>
      <c r="B20" s="55" t="s">
        <v>710</v>
      </c>
      <c r="C20" s="56" t="s">
        <v>711</v>
      </c>
      <c r="D20" s="57">
        <v>15.01</v>
      </c>
      <c r="E20" s="58">
        <v>0.06</v>
      </c>
      <c r="F20" s="58">
        <v>2.73</v>
      </c>
      <c r="G20" s="58"/>
      <c r="H20" s="57">
        <f>SUM(D20:G20)</f>
        <v>17.8</v>
      </c>
      <c r="I20" s="59"/>
      <c r="J20" s="59"/>
    </row>
    <row r="21" spans="1:10" x14ac:dyDescent="0.2">
      <c r="A21" s="54">
        <v>3</v>
      </c>
      <c r="B21" s="55" t="s">
        <v>712</v>
      </c>
      <c r="C21" s="56" t="s">
        <v>404</v>
      </c>
      <c r="D21" s="57">
        <v>6.86</v>
      </c>
      <c r="E21" s="58">
        <v>127.26</v>
      </c>
      <c r="F21" s="58">
        <v>6.4</v>
      </c>
      <c r="G21" s="58"/>
      <c r="H21" s="57">
        <f>SUM(D21:G21)</f>
        <v>140.52000000000001</v>
      </c>
      <c r="I21" s="59"/>
      <c r="J21" s="59"/>
    </row>
    <row r="22" spans="1:10" x14ac:dyDescent="0.2">
      <c r="A22" s="54">
        <v>4</v>
      </c>
      <c r="B22" s="55" t="s">
        <v>713</v>
      </c>
      <c r="C22" s="56" t="s">
        <v>485</v>
      </c>
      <c r="D22" s="57">
        <v>0.28000000000000003</v>
      </c>
      <c r="E22" s="58">
        <v>9.34</v>
      </c>
      <c r="F22" s="58">
        <v>5.8</v>
      </c>
      <c r="G22" s="58"/>
      <c r="H22" s="57">
        <f>SUM(D22:G22)</f>
        <v>15.419999999999998</v>
      </c>
      <c r="I22" s="59"/>
      <c r="J22" s="59"/>
    </row>
    <row r="23" spans="1:10" ht="25.5" x14ac:dyDescent="0.2">
      <c r="A23" s="54">
        <v>5</v>
      </c>
      <c r="B23" s="55" t="s">
        <v>714</v>
      </c>
      <c r="C23" s="56" t="s">
        <v>512</v>
      </c>
      <c r="D23" s="57">
        <v>191.92</v>
      </c>
      <c r="E23" s="58">
        <v>1.06</v>
      </c>
      <c r="F23" s="58">
        <v>307.37</v>
      </c>
      <c r="G23" s="58"/>
      <c r="H23" s="57">
        <f>SUM(D23:G23)</f>
        <v>500.35</v>
      </c>
      <c r="I23" s="59"/>
      <c r="J23" s="59"/>
    </row>
    <row r="24" spans="1:10" ht="15" x14ac:dyDescent="0.2">
      <c r="A24" s="60"/>
      <c r="B24" s="61"/>
      <c r="C24" s="62" t="s">
        <v>715</v>
      </c>
      <c r="D24" s="63">
        <f>SUM(D19:D23)</f>
        <v>802.95999999999992</v>
      </c>
      <c r="E24" s="63">
        <f>SUM(E19:E23)</f>
        <v>137.72</v>
      </c>
      <c r="F24" s="63">
        <f>SUM(F19:F23)</f>
        <v>322.3</v>
      </c>
      <c r="G24" s="63"/>
      <c r="H24" s="63">
        <f>SUM(H19:H23)</f>
        <v>1262.98</v>
      </c>
      <c r="I24" s="59"/>
      <c r="J24" s="59"/>
    </row>
    <row r="25" spans="1:10" hidden="1" x14ac:dyDescent="0.2">
      <c r="A25" s="54">
        <v>9</v>
      </c>
      <c r="B25" s="55" t="s">
        <v>716</v>
      </c>
      <c r="C25" s="56" t="s">
        <v>717</v>
      </c>
      <c r="D25" s="57"/>
      <c r="E25" s="58"/>
      <c r="F25" s="58"/>
      <c r="G25" s="58"/>
      <c r="H25" s="57">
        <f t="shared" ref="H25:H31" si="0">SUM(D25:G25)</f>
        <v>0</v>
      </c>
      <c r="I25" s="59"/>
      <c r="J25" s="59"/>
    </row>
    <row r="26" spans="1:10" hidden="1" x14ac:dyDescent="0.2">
      <c r="A26" s="54">
        <v>10</v>
      </c>
      <c r="B26" s="55" t="s">
        <v>718</v>
      </c>
      <c r="C26" s="56" t="s">
        <v>717</v>
      </c>
      <c r="D26" s="57"/>
      <c r="E26" s="58"/>
      <c r="F26" s="58"/>
      <c r="G26" s="58"/>
      <c r="H26" s="57">
        <f t="shared" si="0"/>
        <v>0</v>
      </c>
      <c r="I26" s="59"/>
      <c r="J26" s="59"/>
    </row>
    <row r="27" spans="1:10" hidden="1" x14ac:dyDescent="0.2">
      <c r="A27" s="54">
        <v>11</v>
      </c>
      <c r="B27" s="55" t="s">
        <v>719</v>
      </c>
      <c r="C27" s="56" t="s">
        <v>717</v>
      </c>
      <c r="D27" s="58"/>
      <c r="E27" s="57"/>
      <c r="F27" s="57"/>
      <c r="G27" s="58"/>
      <c r="H27" s="57">
        <f t="shared" si="0"/>
        <v>0</v>
      </c>
      <c r="I27" s="59"/>
      <c r="J27" s="59"/>
    </row>
    <row r="28" spans="1:10" hidden="1" x14ac:dyDescent="0.2">
      <c r="A28" s="54">
        <v>12</v>
      </c>
      <c r="B28" s="55" t="s">
        <v>720</v>
      </c>
      <c r="C28" s="56" t="s">
        <v>717</v>
      </c>
      <c r="D28" s="58"/>
      <c r="E28" s="57"/>
      <c r="F28" s="58"/>
      <c r="G28" s="58"/>
      <c r="H28" s="57">
        <f t="shared" si="0"/>
        <v>0</v>
      </c>
      <c r="I28" s="59"/>
      <c r="J28" s="59"/>
    </row>
    <row r="29" spans="1:10" hidden="1" x14ac:dyDescent="0.2">
      <c r="A29" s="54">
        <v>13</v>
      </c>
      <c r="B29" s="55" t="s">
        <v>721</v>
      </c>
      <c r="C29" s="56" t="s">
        <v>717</v>
      </c>
      <c r="D29" s="58"/>
      <c r="E29" s="57"/>
      <c r="F29" s="58"/>
      <c r="G29" s="58"/>
      <c r="H29" s="57">
        <f t="shared" si="0"/>
        <v>0</v>
      </c>
      <c r="I29" s="59"/>
      <c r="J29" s="59"/>
    </row>
    <row r="30" spans="1:10" hidden="1" x14ac:dyDescent="0.2">
      <c r="A30" s="54">
        <v>14</v>
      </c>
      <c r="B30" s="55"/>
      <c r="C30" s="56"/>
      <c r="D30" s="58"/>
      <c r="E30" s="57"/>
      <c r="F30" s="58"/>
      <c r="G30" s="58"/>
      <c r="H30" s="57">
        <f t="shared" si="0"/>
        <v>0</v>
      </c>
      <c r="I30" s="59"/>
      <c r="J30" s="59"/>
    </row>
    <row r="31" spans="1:10" hidden="1" x14ac:dyDescent="0.2">
      <c r="A31" s="54">
        <v>15</v>
      </c>
      <c r="B31" s="55" t="s">
        <v>722</v>
      </c>
      <c r="C31" s="56" t="s">
        <v>723</v>
      </c>
      <c r="D31" s="58"/>
      <c r="E31" s="57"/>
      <c r="F31" s="58"/>
      <c r="G31" s="58"/>
      <c r="H31" s="57">
        <f t="shared" si="0"/>
        <v>0</v>
      </c>
      <c r="I31" s="59"/>
      <c r="J31" s="59"/>
    </row>
    <row r="32" spans="1:10" ht="38.25" x14ac:dyDescent="0.2">
      <c r="A32" s="56"/>
      <c r="B32" s="64" t="s">
        <v>1342</v>
      </c>
      <c r="C32" s="56" t="s">
        <v>1343</v>
      </c>
      <c r="D32" s="58">
        <f>D24*6.8</f>
        <v>5460.1279999999997</v>
      </c>
      <c r="E32" s="58">
        <f>E24*6.8</f>
        <v>936.49599999999998</v>
      </c>
      <c r="F32" s="58"/>
      <c r="G32" s="58"/>
      <c r="H32" s="58">
        <f>D32+E32+F32+G32</f>
        <v>6396.6239999999998</v>
      </c>
      <c r="I32" s="59"/>
      <c r="J32" s="59"/>
    </row>
    <row r="33" spans="1:10" ht="38.25" x14ac:dyDescent="0.2">
      <c r="A33" s="56"/>
      <c r="B33" s="64" t="s">
        <v>1344</v>
      </c>
      <c r="C33" s="56" t="s">
        <v>1345</v>
      </c>
      <c r="D33" s="58"/>
      <c r="E33" s="58"/>
      <c r="F33" s="58">
        <f>F24*4.12</f>
        <v>1327.876</v>
      </c>
      <c r="G33" s="58"/>
      <c r="H33" s="58">
        <f>D33+E33+F33+G33</f>
        <v>1327.876</v>
      </c>
      <c r="I33" s="59"/>
      <c r="J33" s="59"/>
    </row>
    <row r="34" spans="1:10" ht="15" x14ac:dyDescent="0.2">
      <c r="A34" s="60"/>
      <c r="B34" s="61"/>
      <c r="C34" s="62" t="s">
        <v>715</v>
      </c>
      <c r="D34" s="63">
        <f>D32+D33</f>
        <v>5460.1279999999997</v>
      </c>
      <c r="E34" s="63">
        <f>E32+E33</f>
        <v>936.49599999999998</v>
      </c>
      <c r="F34" s="63">
        <f>F32+F33</f>
        <v>1327.876</v>
      </c>
      <c r="G34" s="63"/>
      <c r="H34" s="63">
        <f>H32+H33</f>
        <v>7724.5</v>
      </c>
      <c r="I34" s="59"/>
      <c r="J34" s="59"/>
    </row>
    <row r="35" spans="1:10" ht="15" x14ac:dyDescent="0.2">
      <c r="A35" s="65"/>
      <c r="B35" s="66"/>
      <c r="C35" s="67"/>
      <c r="D35" s="68"/>
      <c r="E35" s="68"/>
      <c r="F35" s="68"/>
      <c r="G35" s="68"/>
      <c r="H35" s="68"/>
      <c r="I35" s="69"/>
      <c r="J35" s="69"/>
    </row>
    <row r="36" spans="1:10" ht="12.75" customHeight="1" x14ac:dyDescent="0.2">
      <c r="A36" s="199" t="s">
        <v>724</v>
      </c>
      <c r="B36" s="199"/>
      <c r="C36" s="199"/>
      <c r="D36" s="199"/>
      <c r="E36" s="199"/>
      <c r="F36" s="199"/>
      <c r="G36" s="199"/>
      <c r="H36" s="199"/>
      <c r="I36" s="199"/>
      <c r="J36" s="199"/>
    </row>
    <row r="37" spans="1:10" ht="12.75" customHeight="1" x14ac:dyDescent="0.2">
      <c r="A37" s="198" t="s">
        <v>725</v>
      </c>
      <c r="B37" s="198"/>
      <c r="C37" s="198"/>
      <c r="D37" s="198"/>
      <c r="E37" s="198"/>
      <c r="F37" s="198"/>
      <c r="G37" s="198"/>
      <c r="H37" s="198"/>
      <c r="I37" s="198"/>
      <c r="J37" s="198"/>
    </row>
    <row r="39" spans="1:10" ht="12.75" customHeight="1" x14ac:dyDescent="0.2">
      <c r="A39" s="199" t="s">
        <v>726</v>
      </c>
      <c r="B39" s="199"/>
      <c r="C39" s="199"/>
      <c r="D39" s="199"/>
      <c r="E39" s="199"/>
      <c r="F39" s="199"/>
      <c r="G39" s="199"/>
      <c r="H39" s="199"/>
      <c r="I39" s="199"/>
      <c r="J39" s="199"/>
    </row>
    <row r="40" spans="1:10" ht="12.75" customHeight="1" x14ac:dyDescent="0.2">
      <c r="A40" s="198" t="s">
        <v>725</v>
      </c>
      <c r="B40" s="198"/>
      <c r="C40" s="198"/>
      <c r="D40" s="198"/>
      <c r="E40" s="198"/>
      <c r="F40" s="198"/>
      <c r="G40" s="198"/>
      <c r="H40" s="198"/>
      <c r="I40" s="198"/>
      <c r="J40" s="198"/>
    </row>
    <row r="41" spans="1:10" ht="12.75" customHeight="1" x14ac:dyDescent="0.2">
      <c r="A41" s="199" t="s">
        <v>727</v>
      </c>
      <c r="B41" s="199"/>
      <c r="C41" s="199"/>
      <c r="D41" s="199"/>
      <c r="E41" s="199"/>
      <c r="F41" s="199"/>
      <c r="G41" s="199"/>
      <c r="H41" s="199"/>
      <c r="I41" s="199"/>
      <c r="J41" s="199"/>
    </row>
    <row r="42" spans="1:10" ht="12.75" customHeight="1" x14ac:dyDescent="0.2">
      <c r="A42" s="198" t="s">
        <v>725</v>
      </c>
      <c r="B42" s="198"/>
      <c r="C42" s="198"/>
      <c r="D42" s="198"/>
      <c r="E42" s="198"/>
      <c r="F42" s="198"/>
      <c r="G42" s="198"/>
      <c r="H42" s="198"/>
      <c r="I42" s="198"/>
      <c r="J42" s="198"/>
    </row>
  </sheetData>
  <mergeCells count="23">
    <mergeCell ref="A40:J40"/>
    <mergeCell ref="A41:J41"/>
    <mergeCell ref="A42:J42"/>
    <mergeCell ref="A17:J17"/>
    <mergeCell ref="A18:J18"/>
    <mergeCell ref="A36:J36"/>
    <mergeCell ref="A37:J37"/>
    <mergeCell ref="A39:J39"/>
    <mergeCell ref="A2:J2"/>
    <mergeCell ref="A3:J3"/>
    <mergeCell ref="A4:J4"/>
    <mergeCell ref="A5:J5"/>
    <mergeCell ref="A12:A15"/>
    <mergeCell ref="B12:B15"/>
    <mergeCell ref="C12:C15"/>
    <mergeCell ref="D12:H12"/>
    <mergeCell ref="I12:I15"/>
    <mergeCell ref="J12:J15"/>
    <mergeCell ref="D13:D15"/>
    <mergeCell ref="E13:E15"/>
    <mergeCell ref="F13:F15"/>
    <mergeCell ref="G13:G15"/>
    <mergeCell ref="H13:H15"/>
  </mergeCells>
  <pageMargins left="0.51180555555555496" right="0.196527777777778" top="1.0236111111111099" bottom="0.43263888888888902" header="0.23611111111111099" footer="0.23611111111111099"/>
  <pageSetup paperSize="9" scale="85" firstPageNumber="0" orientation="landscape" horizontalDpi="300" verticalDpi="300"/>
  <headerFooter>
    <oddHeader>&amp;LГранд-СМЕТА</oddHead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2"/>
  <sheetViews>
    <sheetView showGridLines="0" zoomScalePageLayoutView="96" workbookViewId="0">
      <selection activeCell="E21" sqref="E21"/>
    </sheetView>
  </sheetViews>
  <sheetFormatPr defaultColWidth="9.140625" defaultRowHeight="12.75" x14ac:dyDescent="0.2"/>
  <cols>
    <col min="1" max="1" width="5" style="38" customWidth="1"/>
    <col min="2" max="2" width="13" style="39" customWidth="1"/>
    <col min="3" max="3" width="37.28515625" style="40" customWidth="1"/>
    <col min="4" max="4" width="14.28515625" style="41" customWidth="1"/>
    <col min="5" max="5" width="15" style="41" customWidth="1"/>
    <col min="6" max="6" width="11.7109375" style="41" customWidth="1"/>
    <col min="7" max="7" width="11.140625" style="41" customWidth="1"/>
    <col min="8" max="8" width="15" style="41" customWidth="1"/>
    <col min="9" max="9" width="10.85546875" style="41" customWidth="1"/>
    <col min="10" max="10" width="9.140625" style="41"/>
    <col min="11" max="11" width="9.140625" style="38"/>
    <col min="12" max="12" width="12.5703125" style="38" customWidth="1"/>
    <col min="13" max="1025" width="9.140625" style="38"/>
  </cols>
  <sheetData>
    <row r="1" spans="1:15" x14ac:dyDescent="0.2">
      <c r="D1" s="42"/>
      <c r="E1" s="42"/>
      <c r="F1" s="42"/>
      <c r="G1" s="42"/>
      <c r="H1" s="42"/>
      <c r="I1" s="42"/>
      <c r="J1" s="43" t="s">
        <v>690</v>
      </c>
    </row>
    <row r="2" spans="1:15" x14ac:dyDescent="0.2">
      <c r="A2" s="190" t="s">
        <v>691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5" x14ac:dyDescent="0.2">
      <c r="A3" s="191" t="s">
        <v>692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5" ht="38.25" customHeight="1" x14ac:dyDescent="0.25">
      <c r="A4" s="192" t="s">
        <v>322</v>
      </c>
      <c r="B4" s="192"/>
      <c r="C4" s="192"/>
      <c r="D4" s="192"/>
      <c r="E4" s="192"/>
      <c r="F4" s="192"/>
      <c r="G4" s="192"/>
      <c r="H4" s="192"/>
      <c r="I4" s="192"/>
      <c r="J4" s="192"/>
      <c r="K4" s="44"/>
      <c r="L4" s="45"/>
      <c r="M4" s="45"/>
      <c r="N4" s="45"/>
      <c r="O4" s="45"/>
    </row>
    <row r="5" spans="1:15" x14ac:dyDescent="0.2">
      <c r="A5" s="193" t="s">
        <v>693</v>
      </c>
      <c r="B5" s="193"/>
      <c r="C5" s="193"/>
      <c r="D5" s="193"/>
      <c r="E5" s="193"/>
      <c r="F5" s="193"/>
      <c r="G5" s="193"/>
      <c r="H5" s="193"/>
      <c r="I5" s="193"/>
      <c r="J5" s="193"/>
    </row>
    <row r="6" spans="1:15" x14ac:dyDescent="0.2">
      <c r="D6" s="42"/>
      <c r="E6" s="42"/>
      <c r="F6" s="42"/>
      <c r="G6" s="42"/>
      <c r="H6" s="42"/>
      <c r="I6" s="42"/>
    </row>
    <row r="7" spans="1:15" x14ac:dyDescent="0.2">
      <c r="C7" s="40" t="s">
        <v>694</v>
      </c>
      <c r="D7" s="46">
        <f>H24</f>
        <v>1262.98</v>
      </c>
      <c r="E7" s="47" t="s">
        <v>695</v>
      </c>
      <c r="F7" s="42"/>
      <c r="G7" s="42"/>
      <c r="H7" s="42"/>
      <c r="I7" s="42"/>
    </row>
    <row r="8" spans="1:15" x14ac:dyDescent="0.2">
      <c r="C8" s="40" t="s">
        <v>696</v>
      </c>
      <c r="D8" s="48"/>
      <c r="E8" s="42"/>
      <c r="F8" s="42"/>
      <c r="G8" s="42"/>
      <c r="H8" s="42"/>
      <c r="I8" s="42"/>
    </row>
    <row r="9" spans="1:15" x14ac:dyDescent="0.2">
      <c r="C9" s="40" t="s">
        <v>697</v>
      </c>
      <c r="D9" s="48"/>
      <c r="E9" s="42"/>
      <c r="F9" s="42"/>
      <c r="G9" s="42"/>
      <c r="H9" s="42"/>
      <c r="I9" s="42"/>
    </row>
    <row r="10" spans="1:15" x14ac:dyDescent="0.2">
      <c r="C10" s="40" t="s">
        <v>728</v>
      </c>
      <c r="D10" s="201" t="s">
        <v>729</v>
      </c>
      <c r="E10" s="201"/>
      <c r="F10" s="42"/>
      <c r="G10" s="42"/>
      <c r="H10" s="42"/>
      <c r="I10" s="42"/>
    </row>
    <row r="11" spans="1:15" x14ac:dyDescent="0.2">
      <c r="D11" s="42"/>
      <c r="E11" s="42"/>
      <c r="F11" s="42"/>
      <c r="G11" s="42"/>
      <c r="H11" s="42"/>
      <c r="I11" s="42"/>
    </row>
    <row r="12" spans="1:15" ht="12.75" customHeight="1" x14ac:dyDescent="0.2">
      <c r="A12" s="194" t="s">
        <v>698</v>
      </c>
      <c r="B12" s="195" t="s">
        <v>699</v>
      </c>
      <c r="C12" s="194" t="s">
        <v>17</v>
      </c>
      <c r="D12" s="196" t="s">
        <v>700</v>
      </c>
      <c r="E12" s="196"/>
      <c r="F12" s="196"/>
      <c r="G12" s="196"/>
      <c r="H12" s="196"/>
      <c r="I12" s="197" t="s">
        <v>701</v>
      </c>
      <c r="J12" s="197" t="s">
        <v>702</v>
      </c>
    </row>
    <row r="13" spans="1:15" ht="12.75" customHeight="1" x14ac:dyDescent="0.2">
      <c r="A13" s="194"/>
      <c r="B13" s="195"/>
      <c r="C13" s="194"/>
      <c r="D13" s="197" t="s">
        <v>703</v>
      </c>
      <c r="E13" s="197" t="s">
        <v>704</v>
      </c>
      <c r="F13" s="197" t="s">
        <v>705</v>
      </c>
      <c r="G13" s="197" t="s">
        <v>706</v>
      </c>
      <c r="H13" s="197" t="s">
        <v>86</v>
      </c>
      <c r="I13" s="197"/>
      <c r="J13" s="197"/>
    </row>
    <row r="14" spans="1:15" x14ac:dyDescent="0.2">
      <c r="A14" s="194"/>
      <c r="B14" s="195"/>
      <c r="C14" s="194"/>
      <c r="D14" s="197"/>
      <c r="E14" s="197"/>
      <c r="F14" s="197"/>
      <c r="G14" s="197"/>
      <c r="H14" s="197"/>
      <c r="I14" s="197"/>
      <c r="J14" s="197"/>
    </row>
    <row r="15" spans="1:15" x14ac:dyDescent="0.2">
      <c r="A15" s="194"/>
      <c r="B15" s="195"/>
      <c r="C15" s="194"/>
      <c r="D15" s="197"/>
      <c r="E15" s="197"/>
      <c r="F15" s="197"/>
      <c r="G15" s="197"/>
      <c r="H15" s="197"/>
      <c r="I15" s="197"/>
      <c r="J15" s="197"/>
    </row>
    <row r="16" spans="1:15" x14ac:dyDescent="0.2">
      <c r="A16" s="50">
        <v>1</v>
      </c>
      <c r="B16" s="51">
        <v>2</v>
      </c>
      <c r="C16" s="52">
        <v>3</v>
      </c>
      <c r="D16" s="53">
        <v>4</v>
      </c>
      <c r="E16" s="53">
        <v>5</v>
      </c>
      <c r="F16" s="53">
        <v>6</v>
      </c>
      <c r="G16" s="53">
        <v>7</v>
      </c>
      <c r="H16" s="53">
        <v>8</v>
      </c>
      <c r="I16" s="53">
        <v>9</v>
      </c>
      <c r="J16" s="53">
        <v>10</v>
      </c>
    </row>
    <row r="17" spans="1:10" ht="12.75" customHeight="1" x14ac:dyDescent="0.2">
      <c r="A17" s="200" t="s">
        <v>707</v>
      </c>
      <c r="B17" s="200"/>
      <c r="C17" s="200"/>
      <c r="D17" s="200"/>
      <c r="E17" s="200"/>
      <c r="F17" s="200"/>
      <c r="G17" s="200"/>
      <c r="H17" s="200"/>
      <c r="I17" s="200"/>
      <c r="J17" s="200"/>
    </row>
    <row r="18" spans="1:10" x14ac:dyDescent="0.2">
      <c r="A18" s="200"/>
      <c r="B18" s="200"/>
      <c r="C18" s="200"/>
      <c r="D18" s="200"/>
      <c r="E18" s="200"/>
      <c r="F18" s="200"/>
      <c r="G18" s="200"/>
      <c r="H18" s="200"/>
      <c r="I18" s="200"/>
      <c r="J18" s="200"/>
    </row>
    <row r="19" spans="1:10" x14ac:dyDescent="0.2">
      <c r="A19" s="54">
        <v>1</v>
      </c>
      <c r="B19" s="55" t="s">
        <v>708</v>
      </c>
      <c r="C19" s="56" t="s">
        <v>709</v>
      </c>
      <c r="D19" s="57">
        <v>588.89</v>
      </c>
      <c r="E19" s="58"/>
      <c r="F19" s="58"/>
      <c r="G19" s="58"/>
      <c r="H19" s="57">
        <f>SUM(D19:G19)</f>
        <v>588.89</v>
      </c>
      <c r="I19" s="59"/>
      <c r="J19" s="59"/>
    </row>
    <row r="20" spans="1:10" x14ac:dyDescent="0.2">
      <c r="A20" s="54">
        <v>2</v>
      </c>
      <c r="B20" s="55" t="s">
        <v>710</v>
      </c>
      <c r="C20" s="56" t="s">
        <v>711</v>
      </c>
      <c r="D20" s="57">
        <v>15.01</v>
      </c>
      <c r="E20" s="58">
        <v>0.06</v>
      </c>
      <c r="F20" s="58">
        <v>2.73</v>
      </c>
      <c r="G20" s="58"/>
      <c r="H20" s="57">
        <f>SUM(D20:G20)</f>
        <v>17.8</v>
      </c>
      <c r="I20" s="59"/>
      <c r="J20" s="59"/>
    </row>
    <row r="21" spans="1:10" x14ac:dyDescent="0.2">
      <c r="A21" s="54">
        <v>3</v>
      </c>
      <c r="B21" s="55" t="s">
        <v>712</v>
      </c>
      <c r="C21" s="56" t="s">
        <v>404</v>
      </c>
      <c r="D21" s="57">
        <v>6.86</v>
      </c>
      <c r="E21" s="58">
        <v>127.26</v>
      </c>
      <c r="F21" s="58">
        <v>6.4</v>
      </c>
      <c r="G21" s="58"/>
      <c r="H21" s="57">
        <f>SUM(D21:G21)</f>
        <v>140.52000000000001</v>
      </c>
      <c r="I21" s="59"/>
      <c r="J21" s="59"/>
    </row>
    <row r="22" spans="1:10" x14ac:dyDescent="0.2">
      <c r="A22" s="54">
        <v>4</v>
      </c>
      <c r="B22" s="55" t="s">
        <v>713</v>
      </c>
      <c r="C22" s="56" t="s">
        <v>485</v>
      </c>
      <c r="D22" s="57">
        <v>0.28000000000000003</v>
      </c>
      <c r="E22" s="58">
        <v>9.34</v>
      </c>
      <c r="F22" s="58">
        <v>5.8</v>
      </c>
      <c r="G22" s="58"/>
      <c r="H22" s="57">
        <f>SUM(D22:G22)</f>
        <v>15.419999999999998</v>
      </c>
      <c r="I22" s="59"/>
      <c r="J22" s="59"/>
    </row>
    <row r="23" spans="1:10" ht="25.5" x14ac:dyDescent="0.2">
      <c r="A23" s="54">
        <v>5</v>
      </c>
      <c r="B23" s="55" t="s">
        <v>714</v>
      </c>
      <c r="C23" s="56" t="s">
        <v>512</v>
      </c>
      <c r="D23" s="57">
        <v>191.92</v>
      </c>
      <c r="E23" s="58">
        <v>1.06</v>
      </c>
      <c r="F23" s="58">
        <v>307.37</v>
      </c>
      <c r="G23" s="58"/>
      <c r="H23" s="57">
        <f>SUM(D23:G23)</f>
        <v>500.35</v>
      </c>
      <c r="I23" s="59"/>
      <c r="J23" s="59"/>
    </row>
    <row r="24" spans="1:10" ht="15" x14ac:dyDescent="0.2">
      <c r="A24" s="60"/>
      <c r="B24" s="61"/>
      <c r="C24" s="62" t="s">
        <v>715</v>
      </c>
      <c r="D24" s="63">
        <f>SUM(D19:D23)</f>
        <v>802.95999999999992</v>
      </c>
      <c r="E24" s="63">
        <f>SUM(E19:E23)</f>
        <v>137.72</v>
      </c>
      <c r="F24" s="63">
        <f>SUM(F19:F23)</f>
        <v>322.3</v>
      </c>
      <c r="G24" s="63"/>
      <c r="H24" s="63">
        <f>SUM(H19:H23)</f>
        <v>1262.98</v>
      </c>
      <c r="I24" s="59"/>
      <c r="J24" s="59"/>
    </row>
    <row r="25" spans="1:10" x14ac:dyDescent="0.2">
      <c r="A25" s="65"/>
      <c r="B25" s="66"/>
      <c r="C25" s="70"/>
      <c r="D25" s="71"/>
      <c r="E25" s="71"/>
      <c r="F25" s="71"/>
      <c r="G25" s="71"/>
      <c r="H25" s="71"/>
      <c r="I25" s="69"/>
      <c r="J25" s="69"/>
    </row>
    <row r="26" spans="1:10" ht="12.75" customHeight="1" x14ac:dyDescent="0.2">
      <c r="A26" s="199" t="s">
        <v>724</v>
      </c>
      <c r="B26" s="199"/>
      <c r="C26" s="199"/>
      <c r="D26" s="199"/>
      <c r="E26" s="199"/>
      <c r="F26" s="199"/>
      <c r="G26" s="199"/>
      <c r="H26" s="199"/>
      <c r="I26" s="199"/>
      <c r="J26" s="199"/>
    </row>
    <row r="27" spans="1:10" ht="12.75" customHeight="1" x14ac:dyDescent="0.2">
      <c r="A27" s="198" t="s">
        <v>725</v>
      </c>
      <c r="B27" s="198"/>
      <c r="C27" s="198"/>
      <c r="D27" s="198"/>
      <c r="E27" s="198"/>
      <c r="F27" s="198"/>
      <c r="G27" s="198"/>
      <c r="H27" s="198"/>
      <c r="I27" s="198"/>
      <c r="J27" s="198"/>
    </row>
    <row r="29" spans="1:10" ht="12.75" customHeight="1" x14ac:dyDescent="0.2">
      <c r="A29" s="199" t="s">
        <v>726</v>
      </c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10" ht="12.75" customHeight="1" x14ac:dyDescent="0.2">
      <c r="A30" s="198" t="s">
        <v>725</v>
      </c>
      <c r="B30" s="198"/>
      <c r="C30" s="198"/>
      <c r="D30" s="198"/>
      <c r="E30" s="198"/>
      <c r="F30" s="198"/>
      <c r="G30" s="198"/>
      <c r="H30" s="198"/>
      <c r="I30" s="198"/>
      <c r="J30" s="198"/>
    </row>
    <row r="31" spans="1:10" ht="12.75" customHeight="1" x14ac:dyDescent="0.2">
      <c r="A31" s="199" t="s">
        <v>727</v>
      </c>
      <c r="B31" s="199"/>
      <c r="C31" s="199"/>
      <c r="D31" s="199"/>
      <c r="E31" s="199"/>
      <c r="F31" s="199"/>
      <c r="G31" s="199"/>
      <c r="H31" s="199"/>
      <c r="I31" s="199"/>
      <c r="J31" s="199"/>
    </row>
    <row r="32" spans="1:10" ht="12.75" customHeight="1" x14ac:dyDescent="0.2">
      <c r="A32" s="198" t="s">
        <v>725</v>
      </c>
      <c r="B32" s="198"/>
      <c r="C32" s="198"/>
      <c r="D32" s="198"/>
      <c r="E32" s="198"/>
      <c r="F32" s="198"/>
      <c r="G32" s="198"/>
      <c r="H32" s="198"/>
      <c r="I32" s="198"/>
      <c r="J32" s="198"/>
    </row>
  </sheetData>
  <mergeCells count="24">
    <mergeCell ref="A30:J30"/>
    <mergeCell ref="A31:J31"/>
    <mergeCell ref="A32:J32"/>
    <mergeCell ref="A17:J17"/>
    <mergeCell ref="A18:J18"/>
    <mergeCell ref="A26:J26"/>
    <mergeCell ref="A27:J27"/>
    <mergeCell ref="A29:J29"/>
    <mergeCell ref="J12:J15"/>
    <mergeCell ref="D13:D15"/>
    <mergeCell ref="E13:E15"/>
    <mergeCell ref="F13:F15"/>
    <mergeCell ref="G13:G15"/>
    <mergeCell ref="H13:H15"/>
    <mergeCell ref="A12:A15"/>
    <mergeCell ref="B12:B15"/>
    <mergeCell ref="C12:C15"/>
    <mergeCell ref="D12:H12"/>
    <mergeCell ref="I12:I15"/>
    <mergeCell ref="A2:J2"/>
    <mergeCell ref="A3:J3"/>
    <mergeCell ref="A4:J4"/>
    <mergeCell ref="A5:J5"/>
    <mergeCell ref="D10:E10"/>
  </mergeCells>
  <pageMargins left="0.51180555555555496" right="0.196527777777778" top="1.0236111111111099" bottom="0.43263888888888902" header="0.23611111111111099" footer="0.23611111111111099"/>
  <pageSetup paperSize="9" scale="95" firstPageNumber="0" orientation="landscape" horizontalDpi="300" verticalDpi="300"/>
  <headerFooter>
    <oddHeader>&amp;LГранд-СМЕТА</oddHeader>
    <oddFooter>&amp;RСтраница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9CDE5"/>
    <pageSetUpPr fitToPage="1"/>
  </sheetPr>
  <dimension ref="A1:AMK57"/>
  <sheetViews>
    <sheetView showGridLines="0" workbookViewId="0">
      <selection activeCell="G50" sqref="G50"/>
    </sheetView>
  </sheetViews>
  <sheetFormatPr defaultColWidth="9.140625" defaultRowHeight="12.75" x14ac:dyDescent="0.2"/>
  <cols>
    <col min="1" max="1" width="5.28515625" style="72" customWidth="1"/>
    <col min="2" max="2" width="16.5703125" style="72" customWidth="1"/>
    <col min="3" max="3" width="37.7109375" style="72" customWidth="1"/>
    <col min="4" max="8" width="16.7109375" style="72" customWidth="1"/>
    <col min="9" max="1025" width="9.140625" style="72"/>
  </cols>
  <sheetData>
    <row r="1" spans="1:8" x14ac:dyDescent="0.2">
      <c r="A1" s="73"/>
      <c r="B1" s="74"/>
      <c r="C1" s="75"/>
      <c r="D1" s="76"/>
      <c r="E1" s="76"/>
      <c r="F1" s="76"/>
      <c r="G1" s="76"/>
      <c r="H1" s="77" t="s">
        <v>730</v>
      </c>
    </row>
    <row r="2" spans="1:8" ht="32.25" customHeight="1" x14ac:dyDescent="0.2">
      <c r="A2" s="73"/>
      <c r="B2" s="74" t="s">
        <v>731</v>
      </c>
      <c r="C2" s="202" t="s">
        <v>732</v>
      </c>
      <c r="D2" s="202"/>
      <c r="E2" s="202"/>
      <c r="F2" s="202"/>
      <c r="G2" s="202"/>
      <c r="H2" s="76"/>
    </row>
    <row r="3" spans="1:8" ht="12.75" customHeight="1" x14ac:dyDescent="0.2">
      <c r="A3" s="73"/>
      <c r="B3" s="74"/>
      <c r="C3" s="203" t="s">
        <v>733</v>
      </c>
      <c r="D3" s="203"/>
      <c r="E3" s="203"/>
      <c r="F3" s="203"/>
      <c r="G3" s="203"/>
      <c r="H3" s="76"/>
    </row>
    <row r="4" spans="1:8" x14ac:dyDescent="0.2">
      <c r="A4" s="73"/>
      <c r="B4" s="74" t="s">
        <v>734</v>
      </c>
      <c r="C4" s="78"/>
      <c r="D4" s="76"/>
      <c r="E4" s="79"/>
      <c r="F4" s="76"/>
      <c r="G4" s="76"/>
      <c r="H4" s="76"/>
    </row>
    <row r="5" spans="1:8" x14ac:dyDescent="0.2">
      <c r="A5" s="73"/>
      <c r="B5" s="74"/>
      <c r="C5" s="75"/>
      <c r="D5" s="76"/>
      <c r="E5" s="79"/>
      <c r="F5" s="76"/>
      <c r="G5" s="76"/>
      <c r="H5" s="76"/>
    </row>
    <row r="6" spans="1:8" x14ac:dyDescent="0.2">
      <c r="A6" s="73"/>
      <c r="B6" s="74"/>
      <c r="C6" s="75"/>
      <c r="D6" s="76"/>
      <c r="E6" s="79"/>
      <c r="F6" s="76"/>
      <c r="G6" s="76"/>
      <c r="H6" s="76"/>
    </row>
    <row r="7" spans="1:8" s="86" customFormat="1" ht="15.75" x14ac:dyDescent="0.2">
      <c r="A7" s="80"/>
      <c r="B7" s="81" t="s">
        <v>735</v>
      </c>
      <c r="C7" s="82"/>
      <c r="D7" s="83"/>
      <c r="E7" s="84">
        <f>H50</f>
        <v>1321.3027591800903</v>
      </c>
      <c r="F7" s="85" t="s">
        <v>736</v>
      </c>
      <c r="G7" s="83"/>
      <c r="H7" s="83"/>
    </row>
    <row r="8" spans="1:8" s="86" customFormat="1" ht="15.75" x14ac:dyDescent="0.2">
      <c r="A8" s="80"/>
      <c r="B8" s="81" t="s">
        <v>2072</v>
      </c>
      <c r="C8" s="82"/>
      <c r="D8" s="83"/>
      <c r="E8" s="84">
        <f>2000*14/1000/8.38</f>
        <v>3.3412887828162288</v>
      </c>
      <c r="F8" s="85" t="s">
        <v>736</v>
      </c>
      <c r="G8" s="83"/>
      <c r="H8" s="83"/>
    </row>
    <row r="9" spans="1:8" s="86" customFormat="1" ht="15.75" x14ac:dyDescent="0.2">
      <c r="A9" s="80"/>
      <c r="B9" s="81"/>
      <c r="C9" s="82"/>
      <c r="D9" s="83"/>
      <c r="E9" s="84"/>
      <c r="F9" s="85"/>
      <c r="G9" s="83"/>
      <c r="H9" s="83"/>
    </row>
    <row r="10" spans="1:8" ht="15" customHeight="1" x14ac:dyDescent="0.2">
      <c r="A10" s="73"/>
      <c r="B10" s="74"/>
      <c r="C10" s="204" t="s">
        <v>737</v>
      </c>
      <c r="D10" s="204"/>
      <c r="E10" s="204"/>
      <c r="F10" s="204"/>
      <c r="G10" s="204"/>
      <c r="H10" s="76"/>
    </row>
    <row r="11" spans="1:8" ht="1.5" customHeight="1" x14ac:dyDescent="0.2">
      <c r="A11" s="73"/>
      <c r="B11" s="74"/>
      <c r="C11" s="75"/>
      <c r="D11" s="92"/>
      <c r="E11" s="93"/>
      <c r="F11" s="76"/>
      <c r="G11" s="76"/>
      <c r="H11" s="76"/>
    </row>
    <row r="12" spans="1:8" ht="32.25" customHeight="1" x14ac:dyDescent="0.2">
      <c r="A12" s="205" t="s">
        <v>322</v>
      </c>
      <c r="B12" s="205"/>
      <c r="C12" s="205"/>
      <c r="D12" s="205"/>
      <c r="E12" s="205"/>
      <c r="F12" s="205"/>
      <c r="G12" s="205"/>
      <c r="H12" s="205"/>
    </row>
    <row r="13" spans="1:8" ht="12.75" customHeight="1" x14ac:dyDescent="0.2">
      <c r="A13" s="73"/>
      <c r="B13" s="74"/>
      <c r="C13" s="206" t="s">
        <v>738</v>
      </c>
      <c r="D13" s="206"/>
      <c r="E13" s="206"/>
      <c r="F13" s="206"/>
      <c r="G13" s="206"/>
      <c r="H13" s="76"/>
    </row>
    <row r="14" spans="1:8" x14ac:dyDescent="0.2">
      <c r="A14" s="73"/>
      <c r="B14" s="94" t="s">
        <v>739</v>
      </c>
      <c r="C14" s="75"/>
      <c r="D14" s="92"/>
      <c r="E14" s="76"/>
      <c r="F14" s="76"/>
      <c r="G14" s="76"/>
      <c r="H14" s="76"/>
    </row>
    <row r="15" spans="1:8" ht="4.5" customHeight="1" x14ac:dyDescent="0.2">
      <c r="A15" s="73"/>
      <c r="B15" s="74"/>
      <c r="C15" s="75"/>
      <c r="D15" s="92"/>
      <c r="E15" s="76"/>
      <c r="F15" s="76"/>
      <c r="G15" s="76"/>
      <c r="H15" s="76"/>
    </row>
    <row r="16" spans="1:8" hidden="1" x14ac:dyDescent="0.2">
      <c r="A16" s="73"/>
      <c r="B16" s="74"/>
      <c r="C16" s="75"/>
      <c r="D16" s="76"/>
      <c r="E16" s="76"/>
      <c r="F16" s="76"/>
      <c r="G16" s="76"/>
      <c r="H16" s="76"/>
    </row>
    <row r="17" spans="1:8" ht="12.75" customHeight="1" x14ac:dyDescent="0.2">
      <c r="A17" s="207" t="s">
        <v>698</v>
      </c>
      <c r="B17" s="208" t="s">
        <v>740</v>
      </c>
      <c r="C17" s="207" t="s">
        <v>741</v>
      </c>
      <c r="D17" s="209" t="s">
        <v>68</v>
      </c>
      <c r="E17" s="209"/>
      <c r="F17" s="209"/>
      <c r="G17" s="209"/>
      <c r="H17" s="207" t="s">
        <v>742</v>
      </c>
    </row>
    <row r="18" spans="1:8" ht="12.75" customHeight="1" x14ac:dyDescent="0.2">
      <c r="A18" s="207"/>
      <c r="B18" s="208"/>
      <c r="C18" s="207"/>
      <c r="D18" s="207" t="s">
        <v>703</v>
      </c>
      <c r="E18" s="207" t="s">
        <v>704</v>
      </c>
      <c r="F18" s="207" t="s">
        <v>705</v>
      </c>
      <c r="G18" s="207" t="s">
        <v>706</v>
      </c>
      <c r="H18" s="207"/>
    </row>
    <row r="19" spans="1:8" x14ac:dyDescent="0.2">
      <c r="A19" s="207"/>
      <c r="B19" s="208"/>
      <c r="C19" s="207"/>
      <c r="D19" s="207"/>
      <c r="E19" s="207"/>
      <c r="F19" s="207"/>
      <c r="G19" s="207"/>
      <c r="H19" s="207"/>
    </row>
    <row r="20" spans="1:8" x14ac:dyDescent="0.2">
      <c r="A20" s="207"/>
      <c r="B20" s="208"/>
      <c r="C20" s="207"/>
      <c r="D20" s="207"/>
      <c r="E20" s="207"/>
      <c r="F20" s="207"/>
      <c r="G20" s="207"/>
      <c r="H20" s="207"/>
    </row>
    <row r="21" spans="1:8" x14ac:dyDescent="0.2">
      <c r="A21" s="95">
        <v>1</v>
      </c>
      <c r="B21" s="95">
        <v>2</v>
      </c>
      <c r="C21" s="95">
        <v>3</v>
      </c>
      <c r="D21" s="95">
        <v>4</v>
      </c>
      <c r="E21" s="95">
        <v>5</v>
      </c>
      <c r="F21" s="95">
        <v>6</v>
      </c>
      <c r="G21" s="95">
        <v>7</v>
      </c>
      <c r="H21" s="95">
        <v>8</v>
      </c>
    </row>
    <row r="22" spans="1:8" ht="21" customHeight="1" x14ac:dyDescent="0.2">
      <c r="A22" s="210" t="s">
        <v>743</v>
      </c>
      <c r="B22" s="210"/>
      <c r="C22" s="210"/>
      <c r="D22" s="210"/>
      <c r="E22" s="210"/>
      <c r="F22" s="210"/>
      <c r="G22" s="210"/>
      <c r="H22" s="210"/>
    </row>
    <row r="23" spans="1:8" ht="66.75" customHeight="1" x14ac:dyDescent="0.2">
      <c r="A23" s="96">
        <v>1</v>
      </c>
      <c r="B23" s="97" t="s">
        <v>744</v>
      </c>
      <c r="C23" s="98" t="s">
        <v>745</v>
      </c>
      <c r="D23" s="99">
        <f>'ОС 2001'!D24</f>
        <v>802.95999999999992</v>
      </c>
      <c r="E23" s="99">
        <f>'ОС 2001'!E24</f>
        <v>137.72</v>
      </c>
      <c r="F23" s="99">
        <f>'ОС 2001'!F24</f>
        <v>322.3</v>
      </c>
      <c r="G23" s="99"/>
      <c r="H23" s="100">
        <f>D23+E23+F23</f>
        <v>1262.98</v>
      </c>
    </row>
    <row r="24" spans="1:8" ht="28.5" customHeight="1" x14ac:dyDescent="0.2">
      <c r="A24" s="96">
        <v>2</v>
      </c>
      <c r="B24" s="101"/>
      <c r="C24" s="102" t="s">
        <v>746</v>
      </c>
      <c r="D24" s="100">
        <f>D23</f>
        <v>802.95999999999992</v>
      </c>
      <c r="E24" s="100">
        <f>E23</f>
        <v>137.72</v>
      </c>
      <c r="F24" s="100">
        <f>F23</f>
        <v>322.3</v>
      </c>
      <c r="G24" s="100"/>
      <c r="H24" s="100">
        <f>H23</f>
        <v>1262.98</v>
      </c>
    </row>
    <row r="25" spans="1:8" ht="14.25" hidden="1" customHeight="1" x14ac:dyDescent="0.2">
      <c r="A25" s="210" t="s">
        <v>747</v>
      </c>
      <c r="B25" s="210"/>
      <c r="C25" s="210"/>
      <c r="D25" s="210"/>
      <c r="E25" s="210"/>
      <c r="F25" s="210"/>
      <c r="G25" s="210"/>
      <c r="H25" s="210"/>
    </row>
    <row r="26" spans="1:8" ht="20.25" hidden="1" customHeight="1" x14ac:dyDescent="0.2">
      <c r="A26" s="96">
        <v>3</v>
      </c>
      <c r="B26" s="97" t="s">
        <v>748</v>
      </c>
      <c r="C26" s="102" t="s">
        <v>749</v>
      </c>
      <c r="D26" s="103">
        <v>0</v>
      </c>
      <c r="E26" s="103">
        <v>0</v>
      </c>
      <c r="F26" s="103">
        <v>0</v>
      </c>
      <c r="G26" s="103">
        <v>0</v>
      </c>
      <c r="H26" s="104">
        <v>0</v>
      </c>
    </row>
    <row r="27" spans="1:8" ht="27" hidden="1" customHeight="1" x14ac:dyDescent="0.2">
      <c r="A27" s="96">
        <v>4</v>
      </c>
      <c r="B27" s="101"/>
      <c r="C27" s="102" t="s">
        <v>750</v>
      </c>
      <c r="D27" s="104">
        <f>D26</f>
        <v>0</v>
      </c>
      <c r="E27" s="104">
        <f>E26</f>
        <v>0</v>
      </c>
      <c r="F27" s="104">
        <v>0</v>
      </c>
      <c r="G27" s="104">
        <v>0</v>
      </c>
      <c r="H27" s="104">
        <f>D27+E27</f>
        <v>0</v>
      </c>
    </row>
    <row r="28" spans="1:8" ht="14.25" hidden="1" customHeight="1" x14ac:dyDescent="0.2">
      <c r="A28" s="210" t="s">
        <v>751</v>
      </c>
      <c r="B28" s="210"/>
      <c r="C28" s="210"/>
      <c r="D28" s="210"/>
      <c r="E28" s="210"/>
      <c r="F28" s="210"/>
      <c r="G28" s="210"/>
      <c r="H28" s="210"/>
    </row>
    <row r="29" spans="1:8" ht="19.5" hidden="1" customHeight="1" x14ac:dyDescent="0.2">
      <c r="A29" s="96">
        <v>5</v>
      </c>
      <c r="B29" s="97" t="s">
        <v>752</v>
      </c>
      <c r="C29" s="102" t="s">
        <v>753</v>
      </c>
      <c r="D29" s="103">
        <v>0</v>
      </c>
      <c r="E29" s="103">
        <v>0</v>
      </c>
      <c r="F29" s="103">
        <v>0</v>
      </c>
      <c r="G29" s="103">
        <v>0</v>
      </c>
      <c r="H29" s="104">
        <f>D29+E29</f>
        <v>0</v>
      </c>
    </row>
    <row r="30" spans="1:8" ht="24.75" hidden="1" customHeight="1" x14ac:dyDescent="0.2">
      <c r="A30" s="96">
        <v>6</v>
      </c>
      <c r="B30" s="97" t="s">
        <v>754</v>
      </c>
      <c r="C30" s="102" t="s">
        <v>755</v>
      </c>
      <c r="D30" s="103">
        <v>0</v>
      </c>
      <c r="E30" s="103">
        <v>0</v>
      </c>
      <c r="F30" s="103">
        <v>0</v>
      </c>
      <c r="G30" s="103">
        <v>0</v>
      </c>
      <c r="H30" s="104">
        <v>0</v>
      </c>
    </row>
    <row r="31" spans="1:8" ht="24.75" hidden="1" customHeight="1" x14ac:dyDescent="0.2">
      <c r="A31" s="96">
        <v>6</v>
      </c>
      <c r="B31" s="101"/>
      <c r="C31" s="102" t="s">
        <v>756</v>
      </c>
      <c r="D31" s="104">
        <v>0</v>
      </c>
      <c r="E31" s="104">
        <f>E30</f>
        <v>0</v>
      </c>
      <c r="F31" s="104">
        <v>0</v>
      </c>
      <c r="G31" s="104">
        <v>0</v>
      </c>
      <c r="H31" s="104">
        <f>D31+E31</f>
        <v>0</v>
      </c>
    </row>
    <row r="32" spans="1:8" ht="19.5" customHeight="1" x14ac:dyDescent="0.2">
      <c r="A32" s="210" t="s">
        <v>757</v>
      </c>
      <c r="B32" s="210"/>
      <c r="C32" s="210"/>
      <c r="D32" s="210"/>
      <c r="E32" s="210"/>
      <c r="F32" s="210"/>
      <c r="G32" s="210"/>
      <c r="H32" s="210"/>
    </row>
    <row r="33" spans="1:9" ht="42" customHeight="1" x14ac:dyDescent="0.2">
      <c r="A33" s="96">
        <v>7</v>
      </c>
      <c r="B33" s="153" t="s">
        <v>2070</v>
      </c>
      <c r="C33" s="102" t="s">
        <v>2071</v>
      </c>
      <c r="D33" s="99"/>
      <c r="E33" s="99"/>
      <c r="F33" s="99"/>
      <c r="G33" s="99">
        <f>(32+38.3+33.4)*(426.21)/1000/8.38</f>
        <v>5.2742215990453447</v>
      </c>
      <c r="H33" s="100">
        <f>SUM(D33:G33)</f>
        <v>5.2742215990453447</v>
      </c>
    </row>
    <row r="34" spans="1:9" ht="28.5" customHeight="1" x14ac:dyDescent="0.2">
      <c r="A34" s="96">
        <v>8</v>
      </c>
      <c r="B34" s="101"/>
      <c r="C34" s="102" t="s">
        <v>758</v>
      </c>
      <c r="D34" s="100"/>
      <c r="E34" s="100"/>
      <c r="F34" s="100"/>
      <c r="G34" s="100">
        <f>G33</f>
        <v>5.2742215990453447</v>
      </c>
      <c r="H34" s="100">
        <f>SUM(D34:G34)</f>
        <v>5.2742215990453447</v>
      </c>
    </row>
    <row r="35" spans="1:9" ht="18" customHeight="1" x14ac:dyDescent="0.2">
      <c r="A35" s="96">
        <v>5</v>
      </c>
      <c r="B35" s="101"/>
      <c r="C35" s="102" t="s">
        <v>759</v>
      </c>
      <c r="D35" s="100">
        <f>D27+D24</f>
        <v>802.95999999999992</v>
      </c>
      <c r="E35" s="100">
        <f>E27+E24</f>
        <v>137.72</v>
      </c>
      <c r="F35" s="105">
        <f>F24</f>
        <v>322.3</v>
      </c>
      <c r="G35" s="100">
        <f>G34</f>
        <v>5.2742215990453447</v>
      </c>
      <c r="H35" s="100">
        <f>H24+H34</f>
        <v>1268.2542215990454</v>
      </c>
    </row>
    <row r="36" spans="1:9" ht="23.25" customHeight="1" x14ac:dyDescent="0.2">
      <c r="A36" s="210" t="s">
        <v>760</v>
      </c>
      <c r="B36" s="210"/>
      <c r="C36" s="210"/>
      <c r="D36" s="210"/>
      <c r="E36" s="210"/>
      <c r="F36" s="210"/>
      <c r="G36" s="210"/>
      <c r="H36" s="210"/>
    </row>
    <row r="37" spans="1:9" ht="32.25" customHeight="1" x14ac:dyDescent="0.2">
      <c r="A37" s="96">
        <v>3</v>
      </c>
      <c r="B37" s="101" t="s">
        <v>761</v>
      </c>
      <c r="C37" s="102" t="s">
        <v>762</v>
      </c>
      <c r="D37" s="99"/>
      <c r="E37" s="99"/>
      <c r="F37" s="99"/>
      <c r="G37" s="99">
        <f>H35*0.0214</f>
        <v>27.140640342219569</v>
      </c>
      <c r="H37" s="100">
        <f>G37</f>
        <v>27.140640342219569</v>
      </c>
    </row>
    <row r="38" spans="1:9" ht="43.5" customHeight="1" x14ac:dyDescent="0.2">
      <c r="A38" s="96">
        <v>4</v>
      </c>
      <c r="B38" s="101"/>
      <c r="C38" s="102" t="s">
        <v>763</v>
      </c>
      <c r="D38" s="99"/>
      <c r="E38" s="99"/>
      <c r="F38" s="99"/>
      <c r="G38" s="99">
        <f>G37</f>
        <v>27.140640342219569</v>
      </c>
      <c r="H38" s="100">
        <f>H37</f>
        <v>27.140640342219569</v>
      </c>
    </row>
    <row r="39" spans="1:9" ht="19.5" customHeight="1" x14ac:dyDescent="0.2">
      <c r="A39" s="96">
        <v>5</v>
      </c>
      <c r="B39" s="101"/>
      <c r="C39" s="102" t="s">
        <v>764</v>
      </c>
      <c r="D39" s="100">
        <f>D24+D38</f>
        <v>802.95999999999992</v>
      </c>
      <c r="E39" s="100">
        <f>E24+E38</f>
        <v>137.72</v>
      </c>
      <c r="F39" s="100">
        <f>F24+F38</f>
        <v>322.3</v>
      </c>
      <c r="G39" s="100">
        <f>G35+G38</f>
        <v>32.414861941264917</v>
      </c>
      <c r="H39" s="100">
        <f>H35+H38</f>
        <v>1295.3948619412649</v>
      </c>
    </row>
    <row r="40" spans="1:9" ht="18.75" hidden="1" customHeight="1" x14ac:dyDescent="0.2">
      <c r="A40" s="210" t="s">
        <v>765</v>
      </c>
      <c r="B40" s="210"/>
      <c r="C40" s="210"/>
      <c r="D40" s="210"/>
      <c r="E40" s="210"/>
      <c r="F40" s="210"/>
      <c r="G40" s="210"/>
      <c r="H40" s="210"/>
    </row>
    <row r="41" spans="1:9" ht="30" hidden="1" customHeight="1" x14ac:dyDescent="0.2">
      <c r="A41" s="96">
        <v>6</v>
      </c>
      <c r="B41" s="101" t="s">
        <v>766</v>
      </c>
      <c r="C41" s="102" t="s">
        <v>767</v>
      </c>
      <c r="D41" s="103">
        <v>0</v>
      </c>
      <c r="E41" s="103">
        <v>0</v>
      </c>
      <c r="F41" s="103">
        <v>0</v>
      </c>
      <c r="G41" s="103">
        <v>0</v>
      </c>
      <c r="H41" s="104">
        <f>G41</f>
        <v>0</v>
      </c>
    </row>
    <row r="42" spans="1:9" ht="48.75" hidden="1" customHeight="1" x14ac:dyDescent="0.2">
      <c r="A42" s="96">
        <v>7</v>
      </c>
      <c r="B42" s="101"/>
      <c r="C42" s="102" t="s">
        <v>768</v>
      </c>
      <c r="D42" s="103">
        <v>0</v>
      </c>
      <c r="E42" s="103">
        <v>0</v>
      </c>
      <c r="F42" s="103">
        <v>0</v>
      </c>
      <c r="G42" s="103">
        <f>SUM(G41)</f>
        <v>0</v>
      </c>
      <c r="H42" s="104">
        <f>G42</f>
        <v>0</v>
      </c>
    </row>
    <row r="43" spans="1:9" ht="18.75" hidden="1" customHeight="1" x14ac:dyDescent="0.2">
      <c r="A43" s="96">
        <v>8</v>
      </c>
      <c r="B43" s="101"/>
      <c r="C43" s="102" t="s">
        <v>759</v>
      </c>
      <c r="D43" s="104">
        <f>D39</f>
        <v>802.95999999999992</v>
      </c>
      <c r="E43" s="104">
        <f>E39</f>
        <v>137.72</v>
      </c>
      <c r="F43" s="104">
        <v>0</v>
      </c>
      <c r="G43" s="104">
        <f>G42+G39</f>
        <v>32.414861941264917</v>
      </c>
      <c r="H43" s="104">
        <f>H39+H42</f>
        <v>1295.3948619412649</v>
      </c>
    </row>
    <row r="44" spans="1:9" ht="21.75" customHeight="1" x14ac:dyDescent="0.2">
      <c r="A44" s="210" t="s">
        <v>769</v>
      </c>
      <c r="B44" s="210"/>
      <c r="C44" s="210"/>
      <c r="D44" s="210"/>
      <c r="E44" s="210"/>
      <c r="F44" s="210"/>
      <c r="G44" s="210"/>
      <c r="H44" s="210"/>
    </row>
    <row r="45" spans="1:9" ht="27" customHeight="1" x14ac:dyDescent="0.2">
      <c r="A45" s="96">
        <v>6</v>
      </c>
      <c r="B45" s="101" t="s">
        <v>770</v>
      </c>
      <c r="C45" s="102" t="s">
        <v>771</v>
      </c>
      <c r="D45" s="106">
        <f>D39*0.02</f>
        <v>16.059199999999997</v>
      </c>
      <c r="E45" s="106">
        <f>E39*0.02</f>
        <v>2.7544</v>
      </c>
      <c r="F45" s="106">
        <f>F39*0.02</f>
        <v>6.4460000000000006</v>
      </c>
      <c r="G45" s="106">
        <f>G39*0.02</f>
        <v>0.64829723882529833</v>
      </c>
      <c r="H45" s="106">
        <f>D45+E45+F45+G45</f>
        <v>25.907897238825296</v>
      </c>
      <c r="I45" s="107"/>
    </row>
    <row r="46" spans="1:9" ht="20.25" customHeight="1" x14ac:dyDescent="0.2">
      <c r="A46" s="96">
        <v>7</v>
      </c>
      <c r="B46" s="101"/>
      <c r="C46" s="108" t="s">
        <v>772</v>
      </c>
      <c r="D46" s="109">
        <f>D39*1.02</f>
        <v>819.01919999999996</v>
      </c>
      <c r="E46" s="109">
        <f>E39*1.02</f>
        <v>140.4744</v>
      </c>
      <c r="F46" s="109">
        <f>F39*1.02</f>
        <v>328.74600000000004</v>
      </c>
      <c r="G46" s="109">
        <f>G39+G45</f>
        <v>33.063159180090217</v>
      </c>
      <c r="H46" s="109">
        <f>H39+H45</f>
        <v>1321.3027591800903</v>
      </c>
      <c r="I46" s="107"/>
    </row>
    <row r="47" spans="1:9" ht="21" hidden="1" customHeight="1" x14ac:dyDescent="0.2">
      <c r="A47" s="210" t="s">
        <v>773</v>
      </c>
      <c r="B47" s="210"/>
      <c r="C47" s="210"/>
      <c r="D47" s="210"/>
      <c r="E47" s="210"/>
      <c r="F47" s="210"/>
      <c r="G47" s="210"/>
      <c r="H47" s="210"/>
    </row>
    <row r="48" spans="1:9" ht="33" hidden="1" customHeight="1" x14ac:dyDescent="0.2">
      <c r="A48" s="96">
        <v>11</v>
      </c>
      <c r="B48" s="101" t="s">
        <v>774</v>
      </c>
      <c r="C48" s="102" t="s">
        <v>775</v>
      </c>
      <c r="D48" s="106">
        <f>D46*0.2</f>
        <v>163.80384000000001</v>
      </c>
      <c r="E48" s="103">
        <f>E46*0.2</f>
        <v>28.094880000000003</v>
      </c>
      <c r="F48" s="103">
        <v>0</v>
      </c>
      <c r="G48" s="106">
        <f>(G46-G41)*0.2</f>
        <v>6.6126318360180436</v>
      </c>
      <c r="H48" s="104">
        <f>SUM(D48:G48)</f>
        <v>198.51135183601806</v>
      </c>
      <c r="I48" s="107"/>
    </row>
    <row r="49" spans="1:10" ht="23.25" hidden="1" customHeight="1" x14ac:dyDescent="0.2">
      <c r="A49" s="96">
        <v>12</v>
      </c>
      <c r="B49" s="101"/>
      <c r="C49" s="110" t="s">
        <v>776</v>
      </c>
      <c r="D49" s="111">
        <f>D48+D46</f>
        <v>982.82303999999999</v>
      </c>
      <c r="E49" s="111">
        <f>E48+E46</f>
        <v>168.56927999999999</v>
      </c>
      <c r="F49" s="111">
        <v>0</v>
      </c>
      <c r="G49" s="111">
        <f>G46+G48</f>
        <v>39.675791016108263</v>
      </c>
      <c r="H49" s="112">
        <f>SUM(H46:H48)</f>
        <v>1519.8141110161084</v>
      </c>
      <c r="I49" s="113"/>
      <c r="J49" s="113"/>
    </row>
    <row r="50" spans="1:10" s="86" customFormat="1" ht="15.75" customHeight="1" x14ac:dyDescent="0.2">
      <c r="A50" s="96">
        <v>11</v>
      </c>
      <c r="B50" s="114"/>
      <c r="C50" s="108" t="s">
        <v>776</v>
      </c>
      <c r="D50" s="115">
        <f>D46</f>
        <v>819.01919999999996</v>
      </c>
      <c r="E50" s="115">
        <f>E46</f>
        <v>140.4744</v>
      </c>
      <c r="F50" s="115">
        <f>F46</f>
        <v>328.74600000000004</v>
      </c>
      <c r="G50" s="115">
        <f>G46</f>
        <v>33.063159180090217</v>
      </c>
      <c r="H50" s="115">
        <f>H46</f>
        <v>1321.3027591800903</v>
      </c>
      <c r="I50" s="116"/>
    </row>
    <row r="51" spans="1:10" ht="19.5" customHeight="1" x14ac:dyDescent="0.2">
      <c r="A51" s="117"/>
      <c r="B51" s="118"/>
      <c r="C51" s="119"/>
      <c r="E51" s="120"/>
      <c r="F51" s="120"/>
      <c r="G51" s="120"/>
      <c r="H51" s="120"/>
      <c r="I51" s="107"/>
    </row>
    <row r="52" spans="1:10" x14ac:dyDescent="0.2">
      <c r="C52" s="121" t="s">
        <v>777</v>
      </c>
      <c r="D52" s="122" t="s">
        <v>316</v>
      </c>
      <c r="E52" s="123"/>
      <c r="F52" s="123" t="s">
        <v>778</v>
      </c>
      <c r="G52" s="123"/>
    </row>
    <row r="53" spans="1:10" x14ac:dyDescent="0.2">
      <c r="C53" s="124"/>
      <c r="D53" s="211" t="s">
        <v>779</v>
      </c>
      <c r="E53" s="211"/>
      <c r="F53" s="211"/>
      <c r="G53" s="211"/>
    </row>
    <row r="54" spans="1:10" x14ac:dyDescent="0.2">
      <c r="C54" s="121" t="s">
        <v>780</v>
      </c>
      <c r="D54" s="122" t="s">
        <v>320</v>
      </c>
      <c r="E54" s="123"/>
      <c r="F54" s="123" t="s">
        <v>781</v>
      </c>
      <c r="G54" s="123"/>
    </row>
    <row r="55" spans="1:10" x14ac:dyDescent="0.2">
      <c r="C55" s="124"/>
      <c r="D55" s="211" t="s">
        <v>779</v>
      </c>
      <c r="E55" s="211"/>
      <c r="F55" s="211"/>
      <c r="G55" s="211"/>
    </row>
    <row r="56" spans="1:10" x14ac:dyDescent="0.2">
      <c r="C56" s="121" t="s">
        <v>782</v>
      </c>
      <c r="D56" s="122" t="s">
        <v>783</v>
      </c>
      <c r="E56" s="123"/>
      <c r="F56" s="123" t="s">
        <v>784</v>
      </c>
      <c r="G56" s="123"/>
    </row>
    <row r="57" spans="1:10" x14ac:dyDescent="0.2">
      <c r="D57" s="211" t="s">
        <v>785</v>
      </c>
      <c r="E57" s="211"/>
      <c r="F57" s="211"/>
      <c r="G57" s="211"/>
    </row>
  </sheetData>
  <mergeCells count="25">
    <mergeCell ref="D57:G57"/>
    <mergeCell ref="A40:H40"/>
    <mergeCell ref="A44:H44"/>
    <mergeCell ref="A47:H47"/>
    <mergeCell ref="D53:G53"/>
    <mergeCell ref="D55:G55"/>
    <mergeCell ref="A22:H22"/>
    <mergeCell ref="A25:H25"/>
    <mergeCell ref="A28:H28"/>
    <mergeCell ref="A32:H32"/>
    <mergeCell ref="A36:H36"/>
    <mergeCell ref="A17:A20"/>
    <mergeCell ref="B17:B20"/>
    <mergeCell ref="C17:C20"/>
    <mergeCell ref="D17:G17"/>
    <mergeCell ref="H17:H20"/>
    <mergeCell ref="D18:D20"/>
    <mergeCell ref="E18:E20"/>
    <mergeCell ref="F18:F20"/>
    <mergeCell ref="G18:G20"/>
    <mergeCell ref="C2:G2"/>
    <mergeCell ref="C3:G3"/>
    <mergeCell ref="C10:G10"/>
    <mergeCell ref="A12:H12"/>
    <mergeCell ref="C13:G13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9CDE5"/>
    <pageSetUpPr fitToPage="1"/>
  </sheetPr>
  <dimension ref="A1:AMK59"/>
  <sheetViews>
    <sheetView showGridLines="0" tabSelected="1" topLeftCell="A32" workbookViewId="0">
      <selection activeCell="H56" sqref="H56"/>
    </sheetView>
  </sheetViews>
  <sheetFormatPr defaultColWidth="9.140625" defaultRowHeight="12.75" x14ac:dyDescent="0.2"/>
  <cols>
    <col min="1" max="1" width="5.28515625" style="72" customWidth="1"/>
    <col min="2" max="2" width="16.5703125" style="72" customWidth="1"/>
    <col min="3" max="3" width="37.7109375" style="72" customWidth="1"/>
    <col min="4" max="6" width="16.7109375" style="72" customWidth="1"/>
    <col min="7" max="7" width="22.28515625" style="72" customWidth="1"/>
    <col min="8" max="8" width="16.7109375" style="72" customWidth="1"/>
    <col min="9" max="9" width="23.42578125" style="72" customWidth="1"/>
    <col min="10" max="1025" width="9.140625" style="72"/>
  </cols>
  <sheetData>
    <row r="1" spans="1:8" x14ac:dyDescent="0.2">
      <c r="A1" s="73"/>
      <c r="B1" s="74"/>
      <c r="C1" s="75"/>
      <c r="D1" s="76"/>
      <c r="E1" s="76"/>
      <c r="F1" s="76"/>
      <c r="G1" s="76"/>
      <c r="H1" s="77" t="s">
        <v>730</v>
      </c>
    </row>
    <row r="2" spans="1:8" ht="18" customHeight="1" x14ac:dyDescent="0.2">
      <c r="A2" s="73"/>
      <c r="B2" s="74" t="s">
        <v>731</v>
      </c>
      <c r="C2" s="202" t="s">
        <v>732</v>
      </c>
      <c r="D2" s="202"/>
      <c r="E2" s="202"/>
      <c r="F2" s="202"/>
      <c r="G2" s="202"/>
      <c r="H2" s="76"/>
    </row>
    <row r="3" spans="1:8" ht="12.75" customHeight="1" x14ac:dyDescent="0.2">
      <c r="A3" s="73"/>
      <c r="B3" s="74"/>
      <c r="C3" s="203" t="s">
        <v>733</v>
      </c>
      <c r="D3" s="203"/>
      <c r="E3" s="203"/>
      <c r="F3" s="203"/>
      <c r="G3" s="203"/>
      <c r="H3" s="76"/>
    </row>
    <row r="4" spans="1:8" x14ac:dyDescent="0.2">
      <c r="A4" s="73"/>
      <c r="B4" s="74" t="s">
        <v>734</v>
      </c>
      <c r="C4" s="78"/>
      <c r="D4" s="76"/>
      <c r="E4" s="79"/>
      <c r="F4" s="76"/>
      <c r="G4" s="76"/>
      <c r="H4" s="76"/>
    </row>
    <row r="5" spans="1:8" x14ac:dyDescent="0.2">
      <c r="A5" s="73"/>
      <c r="B5" s="74"/>
      <c r="C5" s="75"/>
      <c r="D5" s="76"/>
      <c r="E5" s="79"/>
      <c r="F5" s="76"/>
      <c r="G5" s="76"/>
      <c r="H5" s="76"/>
    </row>
    <row r="6" spans="1:8" x14ac:dyDescent="0.2">
      <c r="A6" s="73"/>
      <c r="B6" s="74"/>
      <c r="C6" s="75"/>
      <c r="D6" s="76"/>
      <c r="E6" s="79"/>
      <c r="F6" s="76"/>
      <c r="G6" s="76"/>
      <c r="H6" s="76"/>
    </row>
    <row r="7" spans="1:8" s="86" customFormat="1" ht="15.75" x14ac:dyDescent="0.2">
      <c r="A7" s="80"/>
      <c r="B7" s="81" t="s">
        <v>2067</v>
      </c>
      <c r="C7" s="82"/>
      <c r="D7" s="83"/>
      <c r="E7" s="84">
        <f>H52</f>
        <v>9712.3764911783474</v>
      </c>
      <c r="F7" s="85" t="s">
        <v>736</v>
      </c>
      <c r="G7" s="83"/>
      <c r="H7" s="83"/>
    </row>
    <row r="8" spans="1:8" s="86" customFormat="1" ht="15.75" x14ac:dyDescent="0.2">
      <c r="A8" s="80"/>
      <c r="B8" s="81" t="s">
        <v>2072</v>
      </c>
      <c r="C8" s="82"/>
      <c r="D8" s="83"/>
      <c r="E8" s="84">
        <f>2000*14/1000</f>
        <v>28</v>
      </c>
      <c r="F8" s="85" t="s">
        <v>736</v>
      </c>
      <c r="G8" s="83"/>
      <c r="H8" s="83"/>
    </row>
    <row r="9" spans="1:8" s="91" customFormat="1" ht="15.75" x14ac:dyDescent="0.25">
      <c r="A9" s="73"/>
      <c r="B9" s="87"/>
      <c r="C9" s="88"/>
      <c r="D9" s="76"/>
      <c r="E9" s="89"/>
      <c r="F9" s="90"/>
      <c r="G9" s="76"/>
      <c r="H9" s="76"/>
    </row>
    <row r="10" spans="1:8" ht="15" customHeight="1" x14ac:dyDescent="0.2">
      <c r="A10" s="73"/>
      <c r="B10" s="74"/>
      <c r="C10" s="204" t="s">
        <v>737</v>
      </c>
      <c r="D10" s="204"/>
      <c r="E10" s="204"/>
      <c r="F10" s="204"/>
      <c r="G10" s="204"/>
      <c r="H10" s="76"/>
    </row>
    <row r="11" spans="1:8" ht="1.5" customHeight="1" x14ac:dyDescent="0.2">
      <c r="A11" s="73"/>
      <c r="B11" s="74"/>
      <c r="C11" s="75"/>
      <c r="D11" s="92"/>
      <c r="E11" s="93"/>
      <c r="F11" s="76"/>
      <c r="G11" s="76"/>
      <c r="H11" s="76"/>
    </row>
    <row r="12" spans="1:8" ht="32.25" customHeight="1" x14ac:dyDescent="0.2">
      <c r="A12" s="205" t="s">
        <v>322</v>
      </c>
      <c r="B12" s="205"/>
      <c r="C12" s="205"/>
      <c r="D12" s="205"/>
      <c r="E12" s="205"/>
      <c r="F12" s="205"/>
      <c r="G12" s="205"/>
      <c r="H12" s="205"/>
    </row>
    <row r="13" spans="1:8" ht="12.75" customHeight="1" x14ac:dyDescent="0.2">
      <c r="A13" s="73"/>
      <c r="B13" s="74"/>
      <c r="C13" s="206" t="s">
        <v>738</v>
      </c>
      <c r="D13" s="206"/>
      <c r="E13" s="206"/>
      <c r="F13" s="206"/>
      <c r="G13" s="206"/>
      <c r="H13" s="76"/>
    </row>
    <row r="14" spans="1:8" x14ac:dyDescent="0.2">
      <c r="A14" s="73"/>
      <c r="B14" s="94" t="s">
        <v>2068</v>
      </c>
      <c r="C14" s="75"/>
      <c r="D14" s="92"/>
      <c r="E14" s="76"/>
      <c r="F14" s="76"/>
      <c r="G14" s="76"/>
      <c r="H14" s="76"/>
    </row>
    <row r="15" spans="1:8" ht="4.5" customHeight="1" x14ac:dyDescent="0.2">
      <c r="A15" s="73"/>
      <c r="B15" s="74"/>
      <c r="C15" s="75"/>
      <c r="D15" s="92"/>
      <c r="E15" s="76"/>
      <c r="F15" s="76"/>
      <c r="G15" s="76"/>
      <c r="H15" s="76"/>
    </row>
    <row r="16" spans="1:8" hidden="1" x14ac:dyDescent="0.2">
      <c r="A16" s="73"/>
      <c r="B16" s="74"/>
      <c r="C16" s="75"/>
      <c r="D16" s="76"/>
      <c r="E16" s="76"/>
      <c r="F16" s="76"/>
      <c r="G16" s="76"/>
      <c r="H16" s="76"/>
    </row>
    <row r="17" spans="1:8" ht="12.75" customHeight="1" x14ac:dyDescent="0.2">
      <c r="A17" s="207" t="s">
        <v>698</v>
      </c>
      <c r="B17" s="208" t="s">
        <v>740</v>
      </c>
      <c r="C17" s="207" t="s">
        <v>741</v>
      </c>
      <c r="D17" s="209" t="s">
        <v>68</v>
      </c>
      <c r="E17" s="209"/>
      <c r="F17" s="209"/>
      <c r="G17" s="209"/>
      <c r="H17" s="207" t="s">
        <v>742</v>
      </c>
    </row>
    <row r="18" spans="1:8" ht="12.75" customHeight="1" x14ac:dyDescent="0.2">
      <c r="A18" s="207"/>
      <c r="B18" s="208"/>
      <c r="C18" s="207"/>
      <c r="D18" s="207" t="s">
        <v>703</v>
      </c>
      <c r="E18" s="207" t="s">
        <v>704</v>
      </c>
      <c r="F18" s="207" t="s">
        <v>705</v>
      </c>
      <c r="G18" s="207" t="s">
        <v>706</v>
      </c>
      <c r="H18" s="207"/>
    </row>
    <row r="19" spans="1:8" x14ac:dyDescent="0.2">
      <c r="A19" s="207"/>
      <c r="B19" s="208"/>
      <c r="C19" s="207"/>
      <c r="D19" s="207"/>
      <c r="E19" s="207"/>
      <c r="F19" s="207"/>
      <c r="G19" s="207"/>
      <c r="H19" s="207"/>
    </row>
    <row r="20" spans="1:8" x14ac:dyDescent="0.2">
      <c r="A20" s="207"/>
      <c r="B20" s="208"/>
      <c r="C20" s="207"/>
      <c r="D20" s="207"/>
      <c r="E20" s="207"/>
      <c r="F20" s="207"/>
      <c r="G20" s="207"/>
      <c r="H20" s="207"/>
    </row>
    <row r="21" spans="1:8" x14ac:dyDescent="0.2">
      <c r="A21" s="95">
        <v>1</v>
      </c>
      <c r="B21" s="95">
        <v>2</v>
      </c>
      <c r="C21" s="95">
        <v>3</v>
      </c>
      <c r="D21" s="95">
        <v>4</v>
      </c>
      <c r="E21" s="95">
        <v>5</v>
      </c>
      <c r="F21" s="95">
        <v>6</v>
      </c>
      <c r="G21" s="95">
        <v>7</v>
      </c>
      <c r="H21" s="95">
        <v>8</v>
      </c>
    </row>
    <row r="22" spans="1:8" ht="21" customHeight="1" x14ac:dyDescent="0.2">
      <c r="A22" s="210" t="s">
        <v>743</v>
      </c>
      <c r="B22" s="210"/>
      <c r="C22" s="210"/>
      <c r="D22" s="210"/>
      <c r="E22" s="210"/>
      <c r="F22" s="210"/>
      <c r="G22" s="210"/>
      <c r="H22" s="210"/>
    </row>
    <row r="23" spans="1:8" ht="67.5" customHeight="1" x14ac:dyDescent="0.2">
      <c r="A23" s="96">
        <v>1</v>
      </c>
      <c r="B23" s="97" t="s">
        <v>744</v>
      </c>
      <c r="C23" s="98" t="s">
        <v>745</v>
      </c>
      <c r="D23" s="99">
        <f>'ОС 3 кв 2020'!D34</f>
        <v>5460.1279999999997</v>
      </c>
      <c r="E23" s="99">
        <f>'ОС 3 кв 2020'!E34</f>
        <v>936.49599999999998</v>
      </c>
      <c r="F23" s="99">
        <f>'ОС 3 кв 2020'!F34</f>
        <v>1327.876</v>
      </c>
      <c r="G23" s="99"/>
      <c r="H23" s="100">
        <f>D23+E23+F23</f>
        <v>7724.5</v>
      </c>
    </row>
    <row r="24" spans="1:8" ht="28.5" customHeight="1" x14ac:dyDescent="0.2">
      <c r="A24" s="96">
        <v>2</v>
      </c>
      <c r="B24" s="101"/>
      <c r="C24" s="102" t="s">
        <v>746</v>
      </c>
      <c r="D24" s="100">
        <f>D23</f>
        <v>5460.1279999999997</v>
      </c>
      <c r="E24" s="100">
        <f>E23</f>
        <v>936.49599999999998</v>
      </c>
      <c r="F24" s="100">
        <f>F23</f>
        <v>1327.876</v>
      </c>
      <c r="G24" s="100"/>
      <c r="H24" s="100">
        <f>H23</f>
        <v>7724.5</v>
      </c>
    </row>
    <row r="25" spans="1:8" ht="14.25" hidden="1" customHeight="1" x14ac:dyDescent="0.2">
      <c r="A25" s="210" t="s">
        <v>747</v>
      </c>
      <c r="B25" s="210"/>
      <c r="C25" s="210"/>
      <c r="D25" s="210"/>
      <c r="E25" s="210"/>
      <c r="F25" s="210"/>
      <c r="G25" s="210"/>
      <c r="H25" s="210"/>
    </row>
    <row r="26" spans="1:8" ht="20.25" hidden="1" customHeight="1" x14ac:dyDescent="0.2">
      <c r="A26" s="96">
        <v>3</v>
      </c>
      <c r="B26" s="97" t="s">
        <v>748</v>
      </c>
      <c r="C26" s="102" t="s">
        <v>749</v>
      </c>
      <c r="D26" s="103">
        <v>0</v>
      </c>
      <c r="E26" s="103">
        <v>0</v>
      </c>
      <c r="F26" s="103">
        <v>0</v>
      </c>
      <c r="G26" s="103">
        <v>0</v>
      </c>
      <c r="H26" s="104">
        <v>0</v>
      </c>
    </row>
    <row r="27" spans="1:8" ht="27" hidden="1" customHeight="1" x14ac:dyDescent="0.2">
      <c r="A27" s="96">
        <v>4</v>
      </c>
      <c r="B27" s="101"/>
      <c r="C27" s="102" t="s">
        <v>750</v>
      </c>
      <c r="D27" s="104">
        <f>D26</f>
        <v>0</v>
      </c>
      <c r="E27" s="104">
        <f>E26</f>
        <v>0</v>
      </c>
      <c r="F27" s="104">
        <v>0</v>
      </c>
      <c r="G27" s="104">
        <v>0</v>
      </c>
      <c r="H27" s="104">
        <f>D27+E27</f>
        <v>0</v>
      </c>
    </row>
    <row r="28" spans="1:8" ht="14.25" hidden="1" customHeight="1" x14ac:dyDescent="0.2">
      <c r="A28" s="210" t="s">
        <v>751</v>
      </c>
      <c r="B28" s="210"/>
      <c r="C28" s="210"/>
      <c r="D28" s="210"/>
      <c r="E28" s="210"/>
      <c r="F28" s="210"/>
      <c r="G28" s="210"/>
      <c r="H28" s="210"/>
    </row>
    <row r="29" spans="1:8" ht="19.5" hidden="1" customHeight="1" x14ac:dyDescent="0.2">
      <c r="A29" s="96">
        <v>5</v>
      </c>
      <c r="B29" s="97" t="s">
        <v>752</v>
      </c>
      <c r="C29" s="102" t="s">
        <v>753</v>
      </c>
      <c r="D29" s="103">
        <v>0</v>
      </c>
      <c r="E29" s="103">
        <v>0</v>
      </c>
      <c r="F29" s="103">
        <v>0</v>
      </c>
      <c r="G29" s="103">
        <v>0</v>
      </c>
      <c r="H29" s="104">
        <f>D29+E29</f>
        <v>0</v>
      </c>
    </row>
    <row r="30" spans="1:8" ht="24.75" hidden="1" customHeight="1" x14ac:dyDescent="0.2">
      <c r="A30" s="96">
        <v>6</v>
      </c>
      <c r="B30" s="97" t="s">
        <v>754</v>
      </c>
      <c r="C30" s="102" t="s">
        <v>755</v>
      </c>
      <c r="D30" s="103">
        <v>0</v>
      </c>
      <c r="E30" s="103">
        <v>0</v>
      </c>
      <c r="F30" s="103">
        <v>0</v>
      </c>
      <c r="G30" s="103">
        <v>0</v>
      </c>
      <c r="H30" s="104">
        <v>0</v>
      </c>
    </row>
    <row r="31" spans="1:8" ht="24.75" hidden="1" customHeight="1" x14ac:dyDescent="0.2">
      <c r="A31" s="96">
        <v>6</v>
      </c>
      <c r="B31" s="101"/>
      <c r="C31" s="102" t="s">
        <v>756</v>
      </c>
      <c r="D31" s="104">
        <v>0</v>
      </c>
      <c r="E31" s="104">
        <f>E30</f>
        <v>0</v>
      </c>
      <c r="F31" s="104">
        <v>0</v>
      </c>
      <c r="G31" s="104">
        <v>0</v>
      </c>
      <c r="H31" s="104">
        <f>D31+E31</f>
        <v>0</v>
      </c>
    </row>
    <row r="32" spans="1:8" ht="19.5" customHeight="1" x14ac:dyDescent="0.2">
      <c r="A32" s="210" t="s">
        <v>757</v>
      </c>
      <c r="B32" s="210"/>
      <c r="C32" s="210"/>
      <c r="D32" s="210"/>
      <c r="E32" s="210"/>
      <c r="F32" s="210"/>
      <c r="G32" s="210"/>
      <c r="H32" s="210"/>
    </row>
    <row r="33" spans="1:9" ht="39.75" customHeight="1" x14ac:dyDescent="0.2">
      <c r="A33" s="96">
        <v>7</v>
      </c>
      <c r="B33" s="153" t="s">
        <v>2070</v>
      </c>
      <c r="C33" s="102" t="s">
        <v>2069</v>
      </c>
      <c r="D33" s="99"/>
      <c r="E33" s="99"/>
      <c r="F33" s="99"/>
      <c r="G33" s="99">
        <f>(32+38.3+33.4)*(426.21)/1000</f>
        <v>44.197976999999995</v>
      </c>
      <c r="H33" s="100">
        <f>SUM(D33:G33)</f>
        <v>44.197976999999995</v>
      </c>
    </row>
    <row r="34" spans="1:9" ht="28.5" customHeight="1" x14ac:dyDescent="0.2">
      <c r="A34" s="96">
        <v>8</v>
      </c>
      <c r="B34" s="101"/>
      <c r="C34" s="102" t="s">
        <v>758</v>
      </c>
      <c r="D34" s="100"/>
      <c r="E34" s="100"/>
      <c r="F34" s="100"/>
      <c r="G34" s="100">
        <f>G33</f>
        <v>44.197976999999995</v>
      </c>
      <c r="H34" s="100">
        <f>SUM(D34:G34)</f>
        <v>44.197976999999995</v>
      </c>
    </row>
    <row r="35" spans="1:9" ht="18" customHeight="1" x14ac:dyDescent="0.2">
      <c r="A35" s="96">
        <v>5</v>
      </c>
      <c r="B35" s="101"/>
      <c r="C35" s="102" t="s">
        <v>759</v>
      </c>
      <c r="D35" s="100">
        <f>D24+D34</f>
        <v>5460.1279999999997</v>
      </c>
      <c r="E35" s="100">
        <f>E24+E34</f>
        <v>936.49599999999998</v>
      </c>
      <c r="F35" s="100">
        <f>F24+F34</f>
        <v>1327.876</v>
      </c>
      <c r="G35" s="100">
        <f>G24+G34</f>
        <v>44.197976999999995</v>
      </c>
      <c r="H35" s="100">
        <f>H24+H34</f>
        <v>7768.6979769999998</v>
      </c>
    </row>
    <row r="36" spans="1:9" ht="23.25" customHeight="1" x14ac:dyDescent="0.2">
      <c r="A36" s="210" t="s">
        <v>760</v>
      </c>
      <c r="B36" s="210"/>
      <c r="C36" s="210"/>
      <c r="D36" s="210"/>
      <c r="E36" s="210"/>
      <c r="F36" s="210"/>
      <c r="G36" s="210"/>
      <c r="H36" s="210"/>
    </row>
    <row r="37" spans="1:9" ht="32.25" customHeight="1" x14ac:dyDescent="0.2">
      <c r="A37" s="96">
        <v>3</v>
      </c>
      <c r="B37" s="101" t="s">
        <v>761</v>
      </c>
      <c r="C37" s="102" t="s">
        <v>762</v>
      </c>
      <c r="D37" s="99"/>
      <c r="E37" s="99"/>
      <c r="F37" s="99"/>
      <c r="G37" s="99">
        <f>H35*0.0214</f>
        <v>166.25013670779998</v>
      </c>
      <c r="H37" s="100">
        <f>G37</f>
        <v>166.25013670779998</v>
      </c>
    </row>
    <row r="38" spans="1:9" ht="43.5" customHeight="1" x14ac:dyDescent="0.2">
      <c r="A38" s="96">
        <v>4</v>
      </c>
      <c r="B38" s="101"/>
      <c r="C38" s="102" t="s">
        <v>763</v>
      </c>
      <c r="D38" s="99"/>
      <c r="E38" s="99"/>
      <c r="F38" s="99"/>
      <c r="G38" s="99">
        <f>G37</f>
        <v>166.25013670779998</v>
      </c>
      <c r="H38" s="100">
        <f>H37</f>
        <v>166.25013670779998</v>
      </c>
    </row>
    <row r="39" spans="1:9" ht="19.5" customHeight="1" x14ac:dyDescent="0.2">
      <c r="A39" s="96">
        <v>5</v>
      </c>
      <c r="B39" s="101"/>
      <c r="C39" s="102" t="s">
        <v>764</v>
      </c>
      <c r="D39" s="100">
        <f>D24+D38</f>
        <v>5460.1279999999997</v>
      </c>
      <c r="E39" s="100">
        <f>E24+E38</f>
        <v>936.49599999999998</v>
      </c>
      <c r="F39" s="100">
        <f>F24+F38</f>
        <v>1327.876</v>
      </c>
      <c r="G39" s="100">
        <f>G35+G38</f>
        <v>210.44811370779996</v>
      </c>
      <c r="H39" s="100">
        <f>H35+H38</f>
        <v>7934.9481137078001</v>
      </c>
      <c r="I39" s="212">
        <f>H35</f>
        <v>7768.6979769999998</v>
      </c>
    </row>
    <row r="40" spans="1:9" ht="18.75" hidden="1" customHeight="1" x14ac:dyDescent="0.2">
      <c r="A40" s="210" t="s">
        <v>765</v>
      </c>
      <c r="B40" s="210"/>
      <c r="C40" s="210"/>
      <c r="D40" s="210"/>
      <c r="E40" s="210"/>
      <c r="F40" s="210"/>
      <c r="G40" s="210"/>
      <c r="H40" s="210"/>
      <c r="I40" s="213"/>
    </row>
    <row r="41" spans="1:9" ht="30" hidden="1" customHeight="1" x14ac:dyDescent="0.2">
      <c r="A41" s="96">
        <v>6</v>
      </c>
      <c r="B41" s="101" t="s">
        <v>766</v>
      </c>
      <c r="C41" s="102" t="s">
        <v>767</v>
      </c>
      <c r="D41" s="103">
        <v>0</v>
      </c>
      <c r="E41" s="103">
        <v>0</v>
      </c>
      <c r="F41" s="103">
        <v>0</v>
      </c>
      <c r="G41" s="103">
        <v>0</v>
      </c>
      <c r="H41" s="104">
        <f>G41</f>
        <v>0</v>
      </c>
      <c r="I41" s="213"/>
    </row>
    <row r="42" spans="1:9" ht="48.75" hidden="1" customHeight="1" x14ac:dyDescent="0.2">
      <c r="A42" s="96">
        <v>7</v>
      </c>
      <c r="B42" s="101"/>
      <c r="C42" s="102" t="s">
        <v>768</v>
      </c>
      <c r="D42" s="103">
        <v>0</v>
      </c>
      <c r="E42" s="103">
        <v>0</v>
      </c>
      <c r="F42" s="103">
        <v>0</v>
      </c>
      <c r="G42" s="103">
        <f>SUM(G41)</f>
        <v>0</v>
      </c>
      <c r="H42" s="104">
        <f>G42</f>
        <v>0</v>
      </c>
      <c r="I42" s="213"/>
    </row>
    <row r="43" spans="1:9" ht="18.75" hidden="1" customHeight="1" x14ac:dyDescent="0.2">
      <c r="A43" s="96">
        <v>8</v>
      </c>
      <c r="B43" s="101"/>
      <c r="C43" s="102" t="s">
        <v>759</v>
      </c>
      <c r="D43" s="104">
        <f>D39</f>
        <v>5460.1279999999997</v>
      </c>
      <c r="E43" s="104">
        <f>E39</f>
        <v>936.49599999999998</v>
      </c>
      <c r="F43" s="104">
        <v>0</v>
      </c>
      <c r="G43" s="104">
        <f>G42+G39</f>
        <v>210.44811370779996</v>
      </c>
      <c r="H43" s="104">
        <f>H39+H42</f>
        <v>7934.9481137078001</v>
      </c>
      <c r="I43" s="213"/>
    </row>
    <row r="44" spans="1:9" ht="21.75" customHeight="1" x14ac:dyDescent="0.2">
      <c r="A44" s="210" t="s">
        <v>769</v>
      </c>
      <c r="B44" s="210"/>
      <c r="C44" s="210"/>
      <c r="D44" s="210"/>
      <c r="E44" s="210"/>
      <c r="F44" s="210"/>
      <c r="G44" s="210"/>
      <c r="H44" s="210"/>
      <c r="I44" s="213"/>
    </row>
    <row r="45" spans="1:9" ht="27" customHeight="1" x14ac:dyDescent="0.2">
      <c r="A45" s="96">
        <v>6</v>
      </c>
      <c r="B45" s="101" t="s">
        <v>770</v>
      </c>
      <c r="C45" s="102" t="s">
        <v>771</v>
      </c>
      <c r="D45" s="106">
        <f>D39*0.02</f>
        <v>109.20255999999999</v>
      </c>
      <c r="E45" s="106">
        <f>E39*0.02</f>
        <v>18.72992</v>
      </c>
      <c r="F45" s="106">
        <f>F39*0.02</f>
        <v>26.55752</v>
      </c>
      <c r="G45" s="106">
        <f>G39*0.02</f>
        <v>4.2089622741559989</v>
      </c>
      <c r="H45" s="106">
        <f>D45+E45+F45+G45</f>
        <v>158.698962274156</v>
      </c>
      <c r="I45" s="214">
        <f>H45</f>
        <v>158.698962274156</v>
      </c>
    </row>
    <row r="46" spans="1:9" ht="20.25" customHeight="1" x14ac:dyDescent="0.2">
      <c r="A46" s="96">
        <v>7</v>
      </c>
      <c r="B46" s="101"/>
      <c r="C46" s="108" t="s">
        <v>772</v>
      </c>
      <c r="D46" s="109">
        <f>D39+D45+0.01</f>
        <v>5569.3405599999996</v>
      </c>
      <c r="E46" s="109">
        <f>E39+E45</f>
        <v>955.22591999999997</v>
      </c>
      <c r="F46" s="109">
        <f>F39+F45</f>
        <v>1354.43352</v>
      </c>
      <c r="G46" s="109">
        <f>G39+G45</f>
        <v>214.65707598195596</v>
      </c>
      <c r="H46" s="109">
        <f>H39+H45</f>
        <v>8093.6470759819558</v>
      </c>
      <c r="I46" s="214">
        <f>SUM(I39:I45)</f>
        <v>7927.3969392741556</v>
      </c>
    </row>
    <row r="47" spans="1:9" ht="21" hidden="1" customHeight="1" x14ac:dyDescent="0.2">
      <c r="A47" s="210" t="s">
        <v>773</v>
      </c>
      <c r="B47" s="210"/>
      <c r="C47" s="210"/>
      <c r="D47" s="210"/>
      <c r="E47" s="210"/>
      <c r="F47" s="210"/>
      <c r="G47" s="210"/>
      <c r="H47" s="210"/>
      <c r="I47" s="213"/>
    </row>
    <row r="48" spans="1:9" ht="33" hidden="1" customHeight="1" x14ac:dyDescent="0.2">
      <c r="A48" s="96">
        <v>11</v>
      </c>
      <c r="B48" s="101" t="s">
        <v>774</v>
      </c>
      <c r="C48" s="102" t="s">
        <v>775</v>
      </c>
      <c r="D48" s="106">
        <f>D46*0.2</f>
        <v>1113.8681119999999</v>
      </c>
      <c r="E48" s="103">
        <f>E46*0.2</f>
        <v>191.04518400000001</v>
      </c>
      <c r="F48" s="103">
        <v>0</v>
      </c>
      <c r="G48" s="106">
        <f>(G46-G41)*0.2</f>
        <v>42.931415196391193</v>
      </c>
      <c r="H48" s="104">
        <f>SUM(D48:G48)</f>
        <v>1347.8447111963912</v>
      </c>
      <c r="I48" s="214"/>
    </row>
    <row r="49" spans="1:17" ht="23.25" hidden="1" customHeight="1" x14ac:dyDescent="0.2">
      <c r="A49" s="96">
        <v>12</v>
      </c>
      <c r="B49" s="101"/>
      <c r="C49" s="110" t="s">
        <v>776</v>
      </c>
      <c r="D49" s="111">
        <f>D48+D46</f>
        <v>6683.2086719999998</v>
      </c>
      <c r="E49" s="111">
        <f>E48+E46</f>
        <v>1146.2711039999999</v>
      </c>
      <c r="F49" s="111">
        <v>0</v>
      </c>
      <c r="G49" s="111">
        <f>G46+G48</f>
        <v>257.58849117834717</v>
      </c>
      <c r="H49" s="112">
        <f>SUM(H46:H48)</f>
        <v>9441.4917871783473</v>
      </c>
      <c r="I49" s="215"/>
      <c r="J49" s="113"/>
    </row>
    <row r="50" spans="1:17" ht="21" customHeight="1" x14ac:dyDescent="0.2">
      <c r="A50" s="210" t="s">
        <v>773</v>
      </c>
      <c r="B50" s="210"/>
      <c r="C50" s="210"/>
      <c r="D50" s="210"/>
      <c r="E50" s="210"/>
      <c r="F50" s="210"/>
      <c r="G50" s="210"/>
      <c r="H50" s="210"/>
      <c r="I50" s="213"/>
    </row>
    <row r="51" spans="1:17" ht="29.25" customHeight="1" x14ac:dyDescent="0.2">
      <c r="A51" s="96">
        <v>10</v>
      </c>
      <c r="B51" s="101" t="s">
        <v>774</v>
      </c>
      <c r="C51" s="102" t="s">
        <v>775</v>
      </c>
      <c r="D51" s="106">
        <f>D46*0.2</f>
        <v>1113.8681119999999</v>
      </c>
      <c r="E51" s="106">
        <f>E46*0.2</f>
        <v>191.04518400000001</v>
      </c>
      <c r="F51" s="106">
        <f>F46*0.2</f>
        <v>270.88670400000001</v>
      </c>
      <c r="G51" s="106">
        <f>G46*0.2</f>
        <v>42.931415196391193</v>
      </c>
      <c r="H51" s="106">
        <f>H46*0.2</f>
        <v>1618.7294151963913</v>
      </c>
      <c r="I51" s="214">
        <f>SUM(D51:F51)</f>
        <v>1575.8</v>
      </c>
    </row>
    <row r="52" spans="1:17" s="86" customFormat="1" ht="27" customHeight="1" x14ac:dyDescent="0.2">
      <c r="A52" s="96">
        <v>11</v>
      </c>
      <c r="B52" s="114"/>
      <c r="C52" s="108" t="s">
        <v>776</v>
      </c>
      <c r="D52" s="115">
        <f>D46+D51-0.01</f>
        <v>6683.1986719999995</v>
      </c>
      <c r="E52" s="115">
        <f>E46+E51</f>
        <v>1146.2711039999999</v>
      </c>
      <c r="F52" s="115">
        <f>F46+F51</f>
        <v>1625.3202240000001</v>
      </c>
      <c r="G52" s="115">
        <f>G46+G51</f>
        <v>257.58849117834717</v>
      </c>
      <c r="H52" s="115">
        <f>H46+H51</f>
        <v>9712.3764911783474</v>
      </c>
      <c r="I52" s="216">
        <f>I51+I46</f>
        <v>9503.1969392741557</v>
      </c>
      <c r="J52" s="217" t="s">
        <v>2074</v>
      </c>
      <c r="K52" s="217"/>
      <c r="L52" s="217"/>
      <c r="M52" s="217"/>
      <c r="N52" s="217"/>
      <c r="O52" s="217"/>
      <c r="P52" s="217"/>
      <c r="Q52" s="217"/>
    </row>
    <row r="53" spans="1:17" ht="19.5" customHeight="1" x14ac:dyDescent="0.2">
      <c r="A53" s="117"/>
      <c r="B53" s="118"/>
      <c r="C53" s="119"/>
      <c r="E53" s="120"/>
      <c r="F53" s="120"/>
      <c r="G53" s="120"/>
      <c r="H53" s="120"/>
      <c r="I53" s="107"/>
    </row>
    <row r="54" spans="1:17" x14ac:dyDescent="0.2">
      <c r="C54" s="121" t="s">
        <v>777</v>
      </c>
      <c r="D54" s="122" t="s">
        <v>316</v>
      </c>
      <c r="E54" s="123"/>
      <c r="F54" s="123" t="s">
        <v>778</v>
      </c>
      <c r="G54" s="123"/>
    </row>
    <row r="55" spans="1:17" x14ac:dyDescent="0.2">
      <c r="C55" s="124"/>
      <c r="D55" s="211" t="s">
        <v>779</v>
      </c>
      <c r="E55" s="211"/>
      <c r="F55" s="211"/>
      <c r="G55" s="211"/>
    </row>
    <row r="56" spans="1:17" x14ac:dyDescent="0.2">
      <c r="C56" s="121" t="s">
        <v>780</v>
      </c>
      <c r="D56" s="122" t="s">
        <v>320</v>
      </c>
      <c r="E56" s="123"/>
      <c r="F56" s="123" t="s">
        <v>781</v>
      </c>
      <c r="G56" s="123"/>
    </row>
    <row r="57" spans="1:17" x14ac:dyDescent="0.2">
      <c r="C57" s="124"/>
      <c r="D57" s="211" t="s">
        <v>779</v>
      </c>
      <c r="E57" s="211"/>
      <c r="F57" s="211"/>
      <c r="G57" s="211"/>
    </row>
    <row r="58" spans="1:17" x14ac:dyDescent="0.2">
      <c r="C58" s="121" t="s">
        <v>782</v>
      </c>
      <c r="D58" s="122" t="s">
        <v>783</v>
      </c>
      <c r="E58" s="123"/>
      <c r="F58" s="123" t="s">
        <v>784</v>
      </c>
      <c r="G58" s="123"/>
    </row>
    <row r="59" spans="1:17" x14ac:dyDescent="0.2">
      <c r="D59" s="211" t="s">
        <v>785</v>
      </c>
      <c r="E59" s="211"/>
      <c r="F59" s="211"/>
      <c r="G59" s="211"/>
    </row>
  </sheetData>
  <mergeCells count="27">
    <mergeCell ref="J52:Q52"/>
    <mergeCell ref="D57:G57"/>
    <mergeCell ref="D59:G59"/>
    <mergeCell ref="A40:H40"/>
    <mergeCell ref="A44:H44"/>
    <mergeCell ref="A47:H47"/>
    <mergeCell ref="A50:H50"/>
    <mergeCell ref="D55:G55"/>
    <mergeCell ref="A22:H22"/>
    <mergeCell ref="A25:H25"/>
    <mergeCell ref="A28:H28"/>
    <mergeCell ref="A32:H32"/>
    <mergeCell ref="A36:H36"/>
    <mergeCell ref="A17:A20"/>
    <mergeCell ref="B17:B20"/>
    <mergeCell ref="C17:C20"/>
    <mergeCell ref="D17:G17"/>
    <mergeCell ref="H17:H20"/>
    <mergeCell ref="D18:D20"/>
    <mergeCell ref="E18:E20"/>
    <mergeCell ref="F18:F20"/>
    <mergeCell ref="G18:G20"/>
    <mergeCell ref="C2:G2"/>
    <mergeCell ref="C3:G3"/>
    <mergeCell ref="C10:G10"/>
    <mergeCell ref="A12:H12"/>
    <mergeCell ref="C13:G13"/>
  </mergeCells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U172"/>
  <sheetViews>
    <sheetView workbookViewId="0">
      <selection activeCell="A168" sqref="A168"/>
    </sheetView>
  </sheetViews>
  <sheetFormatPr defaultColWidth="9.140625" defaultRowHeight="12.75" x14ac:dyDescent="0.2"/>
  <sheetData>
    <row r="1" spans="1:133" x14ac:dyDescent="0.2">
      <c r="A1">
        <v>0</v>
      </c>
      <c r="B1" t="s">
        <v>61</v>
      </c>
      <c r="D1" t="s">
        <v>786</v>
      </c>
      <c r="F1">
        <v>0</v>
      </c>
      <c r="G1">
        <v>0</v>
      </c>
      <c r="H1">
        <v>0</v>
      </c>
      <c r="I1" t="s">
        <v>787</v>
      </c>
      <c r="K1">
        <v>1</v>
      </c>
      <c r="L1">
        <v>47231</v>
      </c>
      <c r="M1">
        <v>10</v>
      </c>
      <c r="N1">
        <v>11</v>
      </c>
      <c r="O1">
        <v>0</v>
      </c>
      <c r="P1">
        <v>0</v>
      </c>
      <c r="Q1">
        <v>6</v>
      </c>
    </row>
    <row r="12" spans="1:133" x14ac:dyDescent="0.2">
      <c r="A12" s="125">
        <v>1</v>
      </c>
      <c r="B12" s="125">
        <v>166</v>
      </c>
      <c r="C12" s="125">
        <v>0</v>
      </c>
      <c r="D12" s="125">
        <f>ROW(A101)</f>
        <v>101</v>
      </c>
      <c r="E12" s="125">
        <v>0</v>
      </c>
      <c r="F12" s="125" t="s">
        <v>708</v>
      </c>
      <c r="G12" s="125" t="s">
        <v>788</v>
      </c>
      <c r="H12" s="125"/>
      <c r="I12" s="125">
        <v>0</v>
      </c>
      <c r="J12" s="125"/>
      <c r="K12" s="125">
        <v>0</v>
      </c>
      <c r="L12" s="125"/>
      <c r="M12" s="125"/>
      <c r="N12" s="125"/>
      <c r="O12" s="125">
        <v>0</v>
      </c>
      <c r="P12" s="125">
        <v>0</v>
      </c>
      <c r="Q12" s="125">
        <v>3</v>
      </c>
      <c r="R12" s="125">
        <v>0</v>
      </c>
      <c r="S12" s="125">
        <v>0</v>
      </c>
      <c r="T12" s="125"/>
      <c r="U12" s="125"/>
      <c r="V12" s="125">
        <v>0</v>
      </c>
      <c r="W12" s="125"/>
      <c r="X12" s="125" t="s">
        <v>321</v>
      </c>
      <c r="Y12" s="125"/>
      <c r="Z12" s="125"/>
      <c r="AA12" s="125"/>
      <c r="AB12" s="125" t="s">
        <v>317</v>
      </c>
      <c r="AC12" s="125" t="s">
        <v>316</v>
      </c>
      <c r="AD12" s="125" t="s">
        <v>321</v>
      </c>
      <c r="AE12" s="125" t="s">
        <v>320</v>
      </c>
      <c r="AF12" s="125"/>
      <c r="AG12" s="125"/>
      <c r="AH12" s="125" t="s">
        <v>789</v>
      </c>
      <c r="AI12" s="125" t="s">
        <v>790</v>
      </c>
      <c r="AJ12" s="125" t="s">
        <v>791</v>
      </c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 t="s">
        <v>792</v>
      </c>
      <c r="BI12" s="125" t="s">
        <v>793</v>
      </c>
      <c r="BJ12" s="125">
        <v>1</v>
      </c>
      <c r="BK12" s="125">
        <v>1</v>
      </c>
      <c r="BL12" s="125">
        <v>0</v>
      </c>
      <c r="BM12" s="125">
        <v>0</v>
      </c>
      <c r="BN12" s="125">
        <v>1</v>
      </c>
      <c r="BO12" s="125">
        <v>0</v>
      </c>
      <c r="BP12" s="125">
        <v>6</v>
      </c>
      <c r="BQ12" s="125">
        <v>0</v>
      </c>
      <c r="BR12" s="125">
        <v>1</v>
      </c>
      <c r="BS12" s="125">
        <v>1</v>
      </c>
      <c r="BT12" s="125">
        <v>0</v>
      </c>
      <c r="BU12" s="125">
        <v>0</v>
      </c>
      <c r="BV12" s="125">
        <v>1</v>
      </c>
      <c r="BW12" s="125">
        <v>0</v>
      </c>
      <c r="BX12" s="125">
        <v>0</v>
      </c>
      <c r="BY12" s="125" t="s">
        <v>794</v>
      </c>
      <c r="BZ12" s="125" t="s">
        <v>795</v>
      </c>
      <c r="CA12" s="125" t="s">
        <v>796</v>
      </c>
      <c r="CB12" s="125" t="s">
        <v>796</v>
      </c>
      <c r="CC12" s="125" t="s">
        <v>796</v>
      </c>
      <c r="CD12" s="125" t="s">
        <v>796</v>
      </c>
      <c r="CE12" s="125" t="s">
        <v>797</v>
      </c>
      <c r="CF12" s="125">
        <v>0</v>
      </c>
      <c r="CG12" s="125">
        <v>0</v>
      </c>
      <c r="CH12" s="125">
        <v>2097160</v>
      </c>
      <c r="CI12" s="125"/>
      <c r="CJ12" s="125"/>
      <c r="CK12" s="125">
        <v>0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>
        <v>0</v>
      </c>
    </row>
    <row r="15" spans="1:133" x14ac:dyDescent="0.2">
      <c r="A15" s="125">
        <v>15</v>
      </c>
      <c r="B15" s="125">
        <v>1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</row>
    <row r="18" spans="1:255" x14ac:dyDescent="0.2">
      <c r="A18" s="126">
        <v>52</v>
      </c>
      <c r="B18" s="126">
        <f t="shared" ref="B18:G18" si="0">B101</f>
        <v>166</v>
      </c>
      <c r="C18" s="126">
        <f t="shared" si="0"/>
        <v>1</v>
      </c>
      <c r="D18" s="126">
        <f t="shared" si="0"/>
        <v>12</v>
      </c>
      <c r="E18" s="126">
        <f t="shared" si="0"/>
        <v>0</v>
      </c>
      <c r="F18" s="126" t="str">
        <f t="shared" si="0"/>
        <v>02-01-01</v>
      </c>
      <c r="G18" s="126" t="str">
        <f t="shared" si="0"/>
        <v>1077-2020 Аксаринская начальная школа детский-сад</v>
      </c>
      <c r="H18" s="126"/>
      <c r="I18" s="126"/>
      <c r="J18" s="126"/>
      <c r="K18" s="126"/>
      <c r="L18" s="126"/>
      <c r="M18" s="126"/>
      <c r="N18" s="126"/>
      <c r="O18" s="126">
        <f t="shared" ref="O18:AT18" si="1">O101</f>
        <v>470688</v>
      </c>
      <c r="P18" s="126">
        <f t="shared" si="1"/>
        <v>400889</v>
      </c>
      <c r="Q18" s="126">
        <f t="shared" si="1"/>
        <v>8101</v>
      </c>
      <c r="R18" s="126">
        <f t="shared" si="1"/>
        <v>353</v>
      </c>
      <c r="S18" s="126">
        <f t="shared" si="1"/>
        <v>61698</v>
      </c>
      <c r="T18" s="126">
        <f t="shared" si="1"/>
        <v>0</v>
      </c>
      <c r="U18" s="126">
        <f t="shared" si="1"/>
        <v>605.78742554999985</v>
      </c>
      <c r="V18" s="126">
        <f t="shared" si="1"/>
        <v>3.7164324999999998</v>
      </c>
      <c r="W18" s="126">
        <f t="shared" si="1"/>
        <v>0</v>
      </c>
      <c r="X18" s="126">
        <f t="shared" si="1"/>
        <v>60110</v>
      </c>
      <c r="Y18" s="126">
        <f t="shared" si="1"/>
        <v>30563</v>
      </c>
      <c r="Z18" s="126">
        <f t="shared" si="1"/>
        <v>0</v>
      </c>
      <c r="AA18" s="126">
        <f t="shared" si="1"/>
        <v>0</v>
      </c>
      <c r="AB18" s="126">
        <f t="shared" si="1"/>
        <v>0</v>
      </c>
      <c r="AC18" s="126">
        <f t="shared" si="1"/>
        <v>0</v>
      </c>
      <c r="AD18" s="126">
        <f t="shared" si="1"/>
        <v>0</v>
      </c>
      <c r="AE18" s="126">
        <f t="shared" si="1"/>
        <v>0</v>
      </c>
      <c r="AF18" s="126">
        <f t="shared" si="1"/>
        <v>0</v>
      </c>
      <c r="AG18" s="126">
        <f t="shared" si="1"/>
        <v>0</v>
      </c>
      <c r="AH18" s="126">
        <f t="shared" si="1"/>
        <v>0</v>
      </c>
      <c r="AI18" s="126">
        <f t="shared" si="1"/>
        <v>0</v>
      </c>
      <c r="AJ18" s="126">
        <f t="shared" si="1"/>
        <v>0</v>
      </c>
      <c r="AK18" s="126">
        <f t="shared" si="1"/>
        <v>0</v>
      </c>
      <c r="AL18" s="126">
        <f t="shared" si="1"/>
        <v>0</v>
      </c>
      <c r="AM18" s="126">
        <f t="shared" si="1"/>
        <v>0</v>
      </c>
      <c r="AN18" s="126">
        <f t="shared" si="1"/>
        <v>0</v>
      </c>
      <c r="AO18" s="126">
        <f t="shared" si="1"/>
        <v>0</v>
      </c>
      <c r="AP18" s="126">
        <f t="shared" si="1"/>
        <v>0</v>
      </c>
      <c r="AQ18" s="126">
        <f t="shared" si="1"/>
        <v>0</v>
      </c>
      <c r="AR18" s="126">
        <f t="shared" si="1"/>
        <v>561361</v>
      </c>
      <c r="AS18" s="126">
        <f t="shared" si="1"/>
        <v>561361</v>
      </c>
      <c r="AT18" s="126">
        <f t="shared" si="1"/>
        <v>0</v>
      </c>
      <c r="AU18" s="126">
        <f t="shared" ref="AU18:BZ18" si="2">AU101</f>
        <v>0</v>
      </c>
      <c r="AV18" s="126">
        <f t="shared" si="2"/>
        <v>400889</v>
      </c>
      <c r="AW18" s="126">
        <f t="shared" si="2"/>
        <v>400889</v>
      </c>
      <c r="AX18" s="126">
        <f t="shared" si="2"/>
        <v>0</v>
      </c>
      <c r="AY18" s="126">
        <f t="shared" si="2"/>
        <v>400889</v>
      </c>
      <c r="AZ18" s="126">
        <f t="shared" si="2"/>
        <v>0</v>
      </c>
      <c r="BA18" s="126">
        <f t="shared" si="2"/>
        <v>0</v>
      </c>
      <c r="BB18" s="126">
        <f t="shared" si="2"/>
        <v>0</v>
      </c>
      <c r="BC18" s="126">
        <f t="shared" si="2"/>
        <v>0</v>
      </c>
      <c r="BD18" s="126">
        <f t="shared" si="2"/>
        <v>5548</v>
      </c>
      <c r="BE18" s="126">
        <f t="shared" si="2"/>
        <v>0</v>
      </c>
      <c r="BF18" s="126">
        <f t="shared" si="2"/>
        <v>0</v>
      </c>
      <c r="BG18" s="126">
        <f t="shared" si="2"/>
        <v>0</v>
      </c>
      <c r="BH18" s="126">
        <f t="shared" si="2"/>
        <v>0</v>
      </c>
      <c r="BI18" s="126">
        <f t="shared" si="2"/>
        <v>0</v>
      </c>
      <c r="BJ18" s="126">
        <f t="shared" si="2"/>
        <v>0</v>
      </c>
      <c r="BK18" s="126">
        <f t="shared" si="2"/>
        <v>0</v>
      </c>
      <c r="BL18" s="126">
        <f t="shared" si="2"/>
        <v>0</v>
      </c>
      <c r="BM18" s="126">
        <f t="shared" si="2"/>
        <v>0</v>
      </c>
      <c r="BN18" s="126">
        <f t="shared" si="2"/>
        <v>0</v>
      </c>
      <c r="BO18" s="126">
        <f t="shared" si="2"/>
        <v>0</v>
      </c>
      <c r="BP18" s="126">
        <f t="shared" si="2"/>
        <v>0</v>
      </c>
      <c r="BQ18" s="126">
        <f t="shared" si="2"/>
        <v>0</v>
      </c>
      <c r="BR18" s="126">
        <f t="shared" si="2"/>
        <v>0</v>
      </c>
      <c r="BS18" s="126">
        <f t="shared" si="2"/>
        <v>0</v>
      </c>
      <c r="BT18" s="126">
        <f t="shared" si="2"/>
        <v>0</v>
      </c>
      <c r="BU18" s="126">
        <f t="shared" si="2"/>
        <v>0</v>
      </c>
      <c r="BV18" s="126">
        <f t="shared" si="2"/>
        <v>0</v>
      </c>
      <c r="BW18" s="126">
        <f t="shared" si="2"/>
        <v>0</v>
      </c>
      <c r="BX18" s="126">
        <f t="shared" si="2"/>
        <v>0</v>
      </c>
      <c r="BY18" s="126">
        <f t="shared" si="2"/>
        <v>0</v>
      </c>
      <c r="BZ18" s="126">
        <f t="shared" si="2"/>
        <v>0</v>
      </c>
      <c r="CA18" s="126">
        <f t="shared" ref="CA18:DF18" si="3">CA101</f>
        <v>0</v>
      </c>
      <c r="CB18" s="126">
        <f t="shared" si="3"/>
        <v>0</v>
      </c>
      <c r="CC18" s="126">
        <f t="shared" si="3"/>
        <v>0</v>
      </c>
      <c r="CD18" s="126">
        <f t="shared" si="3"/>
        <v>0</v>
      </c>
      <c r="CE18" s="126">
        <f t="shared" si="3"/>
        <v>0</v>
      </c>
      <c r="CF18" s="126">
        <f t="shared" si="3"/>
        <v>0</v>
      </c>
      <c r="CG18" s="126">
        <f t="shared" si="3"/>
        <v>0</v>
      </c>
      <c r="CH18" s="126">
        <f t="shared" si="3"/>
        <v>0</v>
      </c>
      <c r="CI18" s="126">
        <f t="shared" si="3"/>
        <v>0</v>
      </c>
      <c r="CJ18" s="126">
        <f t="shared" si="3"/>
        <v>0</v>
      </c>
      <c r="CK18" s="126">
        <f t="shared" si="3"/>
        <v>0</v>
      </c>
      <c r="CL18" s="126">
        <f t="shared" si="3"/>
        <v>0</v>
      </c>
      <c r="CM18" s="126">
        <f t="shared" si="3"/>
        <v>0</v>
      </c>
      <c r="CN18" s="126">
        <f t="shared" si="3"/>
        <v>0</v>
      </c>
      <c r="CO18" s="126">
        <f t="shared" si="3"/>
        <v>0</v>
      </c>
      <c r="CP18" s="126">
        <f t="shared" si="3"/>
        <v>0</v>
      </c>
      <c r="CQ18" s="126">
        <f t="shared" si="3"/>
        <v>0</v>
      </c>
      <c r="CR18" s="126">
        <f t="shared" si="3"/>
        <v>0</v>
      </c>
      <c r="CS18" s="126">
        <f t="shared" si="3"/>
        <v>0</v>
      </c>
      <c r="CT18" s="126">
        <f t="shared" si="3"/>
        <v>0</v>
      </c>
      <c r="CU18" s="126">
        <f t="shared" si="3"/>
        <v>0</v>
      </c>
      <c r="CV18" s="126">
        <f t="shared" si="3"/>
        <v>0</v>
      </c>
      <c r="CW18" s="126">
        <f t="shared" si="3"/>
        <v>0</v>
      </c>
      <c r="CX18" s="126">
        <f t="shared" si="3"/>
        <v>0</v>
      </c>
      <c r="CY18" s="126">
        <f t="shared" si="3"/>
        <v>0</v>
      </c>
      <c r="CZ18" s="126">
        <f t="shared" si="3"/>
        <v>0</v>
      </c>
      <c r="DA18" s="126">
        <f t="shared" si="3"/>
        <v>0</v>
      </c>
      <c r="DB18" s="126">
        <f t="shared" si="3"/>
        <v>0</v>
      </c>
      <c r="DC18" s="126">
        <f t="shared" si="3"/>
        <v>0</v>
      </c>
      <c r="DD18" s="126">
        <f t="shared" si="3"/>
        <v>0</v>
      </c>
      <c r="DE18" s="126">
        <f t="shared" si="3"/>
        <v>0</v>
      </c>
      <c r="DF18" s="126">
        <f t="shared" si="3"/>
        <v>0</v>
      </c>
      <c r="DG18" s="127">
        <f t="shared" ref="DG18:EL18" si="4">DG101</f>
        <v>571339</v>
      </c>
      <c r="DH18" s="127">
        <f t="shared" si="4"/>
        <v>461934</v>
      </c>
      <c r="DI18" s="127">
        <f t="shared" si="4"/>
        <v>12201</v>
      </c>
      <c r="DJ18" s="127">
        <f t="shared" si="4"/>
        <v>2556</v>
      </c>
      <c r="DK18" s="127">
        <f t="shared" si="4"/>
        <v>97204</v>
      </c>
      <c r="DL18" s="127">
        <f t="shared" si="4"/>
        <v>0</v>
      </c>
      <c r="DM18" s="127">
        <f t="shared" si="4"/>
        <v>605.78742554999985</v>
      </c>
      <c r="DN18" s="127">
        <f t="shared" si="4"/>
        <v>3.7164324999999998</v>
      </c>
      <c r="DO18" s="127">
        <f t="shared" si="4"/>
        <v>0</v>
      </c>
      <c r="DP18" s="127">
        <f t="shared" si="4"/>
        <v>91605</v>
      </c>
      <c r="DQ18" s="127">
        <f t="shared" si="4"/>
        <v>52087</v>
      </c>
      <c r="DR18" s="127">
        <f t="shared" si="4"/>
        <v>0</v>
      </c>
      <c r="DS18" s="127">
        <f t="shared" si="4"/>
        <v>0</v>
      </c>
      <c r="DT18" s="127">
        <f t="shared" si="4"/>
        <v>0</v>
      </c>
      <c r="DU18" s="127">
        <f t="shared" si="4"/>
        <v>0</v>
      </c>
      <c r="DV18" s="127">
        <f t="shared" si="4"/>
        <v>0</v>
      </c>
      <c r="DW18" s="127">
        <f t="shared" si="4"/>
        <v>0</v>
      </c>
      <c r="DX18" s="127">
        <f t="shared" si="4"/>
        <v>0</v>
      </c>
      <c r="DY18" s="127">
        <f t="shared" si="4"/>
        <v>0</v>
      </c>
      <c r="DZ18" s="127">
        <f t="shared" si="4"/>
        <v>0</v>
      </c>
      <c r="EA18" s="127">
        <f t="shared" si="4"/>
        <v>0</v>
      </c>
      <c r="EB18" s="127">
        <f t="shared" si="4"/>
        <v>0</v>
      </c>
      <c r="EC18" s="127">
        <f t="shared" si="4"/>
        <v>0</v>
      </c>
      <c r="ED18" s="127">
        <f t="shared" si="4"/>
        <v>0</v>
      </c>
      <c r="EE18" s="127">
        <f t="shared" si="4"/>
        <v>0</v>
      </c>
      <c r="EF18" s="127">
        <f t="shared" si="4"/>
        <v>0</v>
      </c>
      <c r="EG18" s="127">
        <f t="shared" si="4"/>
        <v>0</v>
      </c>
      <c r="EH18" s="127">
        <f t="shared" si="4"/>
        <v>0</v>
      </c>
      <c r="EI18" s="127">
        <f t="shared" si="4"/>
        <v>0</v>
      </c>
      <c r="EJ18" s="127">
        <f t="shared" si="4"/>
        <v>715031</v>
      </c>
      <c r="EK18" s="127">
        <f t="shared" si="4"/>
        <v>715031</v>
      </c>
      <c r="EL18" s="127">
        <f t="shared" si="4"/>
        <v>0</v>
      </c>
      <c r="EM18" s="127">
        <f t="shared" ref="EM18:FR18" si="5">EM101</f>
        <v>0</v>
      </c>
      <c r="EN18" s="127">
        <f t="shared" si="5"/>
        <v>461934</v>
      </c>
      <c r="EO18" s="127">
        <f t="shared" si="5"/>
        <v>461934</v>
      </c>
      <c r="EP18" s="127">
        <f t="shared" si="5"/>
        <v>0</v>
      </c>
      <c r="EQ18" s="127">
        <f t="shared" si="5"/>
        <v>461934</v>
      </c>
      <c r="ER18" s="127">
        <f t="shared" si="5"/>
        <v>0</v>
      </c>
      <c r="ES18" s="127">
        <f t="shared" si="5"/>
        <v>0</v>
      </c>
      <c r="ET18" s="127">
        <f t="shared" si="5"/>
        <v>0</v>
      </c>
      <c r="EU18" s="127">
        <f t="shared" si="5"/>
        <v>0</v>
      </c>
      <c r="EV18" s="127">
        <f t="shared" si="5"/>
        <v>8793</v>
      </c>
      <c r="EW18" s="127">
        <f t="shared" si="5"/>
        <v>0</v>
      </c>
      <c r="EX18" s="127">
        <f t="shared" si="5"/>
        <v>0</v>
      </c>
      <c r="EY18" s="127">
        <f t="shared" si="5"/>
        <v>0</v>
      </c>
      <c r="EZ18" s="127">
        <f t="shared" si="5"/>
        <v>0</v>
      </c>
      <c r="FA18" s="127">
        <f t="shared" si="5"/>
        <v>0</v>
      </c>
      <c r="FB18" s="127">
        <f t="shared" si="5"/>
        <v>0</v>
      </c>
      <c r="FC18" s="127">
        <f t="shared" si="5"/>
        <v>0</v>
      </c>
      <c r="FD18" s="127">
        <f t="shared" si="5"/>
        <v>0</v>
      </c>
      <c r="FE18" s="127">
        <f t="shared" si="5"/>
        <v>0</v>
      </c>
      <c r="FF18" s="127">
        <f t="shared" si="5"/>
        <v>0</v>
      </c>
      <c r="FG18" s="127">
        <f t="shared" si="5"/>
        <v>0</v>
      </c>
      <c r="FH18" s="127">
        <f t="shared" si="5"/>
        <v>0</v>
      </c>
      <c r="FI18" s="127">
        <f t="shared" si="5"/>
        <v>0</v>
      </c>
      <c r="FJ18" s="127">
        <f t="shared" si="5"/>
        <v>0</v>
      </c>
      <c r="FK18" s="127">
        <f t="shared" si="5"/>
        <v>0</v>
      </c>
      <c r="FL18" s="127">
        <f t="shared" si="5"/>
        <v>0</v>
      </c>
      <c r="FM18" s="127">
        <f t="shared" si="5"/>
        <v>0</v>
      </c>
      <c r="FN18" s="127">
        <f t="shared" si="5"/>
        <v>0</v>
      </c>
      <c r="FO18" s="127">
        <f t="shared" si="5"/>
        <v>0</v>
      </c>
      <c r="FP18" s="127">
        <f t="shared" si="5"/>
        <v>0</v>
      </c>
      <c r="FQ18" s="127">
        <f t="shared" si="5"/>
        <v>0</v>
      </c>
      <c r="FR18" s="127">
        <f t="shared" si="5"/>
        <v>0</v>
      </c>
      <c r="FS18" s="127">
        <f t="shared" ref="FS18:GX18" si="6">FS101</f>
        <v>0</v>
      </c>
      <c r="FT18" s="127">
        <f t="shared" si="6"/>
        <v>0</v>
      </c>
      <c r="FU18" s="127">
        <f t="shared" si="6"/>
        <v>0</v>
      </c>
      <c r="FV18" s="127">
        <f t="shared" si="6"/>
        <v>0</v>
      </c>
      <c r="FW18" s="127">
        <f t="shared" si="6"/>
        <v>0</v>
      </c>
      <c r="FX18" s="127">
        <f t="shared" si="6"/>
        <v>0</v>
      </c>
      <c r="FY18" s="127">
        <f t="shared" si="6"/>
        <v>0</v>
      </c>
      <c r="FZ18" s="127">
        <f t="shared" si="6"/>
        <v>0</v>
      </c>
      <c r="GA18" s="127">
        <f t="shared" si="6"/>
        <v>0</v>
      </c>
      <c r="GB18" s="127">
        <f t="shared" si="6"/>
        <v>0</v>
      </c>
      <c r="GC18" s="127">
        <f t="shared" si="6"/>
        <v>0</v>
      </c>
      <c r="GD18" s="127">
        <f t="shared" si="6"/>
        <v>0</v>
      </c>
      <c r="GE18" s="127">
        <f t="shared" si="6"/>
        <v>0</v>
      </c>
      <c r="GF18" s="127">
        <f t="shared" si="6"/>
        <v>0</v>
      </c>
      <c r="GG18" s="127">
        <f t="shared" si="6"/>
        <v>0</v>
      </c>
      <c r="GH18" s="127">
        <f t="shared" si="6"/>
        <v>0</v>
      </c>
      <c r="GI18" s="127">
        <f t="shared" si="6"/>
        <v>0</v>
      </c>
      <c r="GJ18" s="127">
        <f t="shared" si="6"/>
        <v>0</v>
      </c>
      <c r="GK18" s="127">
        <f t="shared" si="6"/>
        <v>0</v>
      </c>
      <c r="GL18" s="127">
        <f t="shared" si="6"/>
        <v>0</v>
      </c>
      <c r="GM18" s="127">
        <f t="shared" si="6"/>
        <v>0</v>
      </c>
      <c r="GN18" s="127">
        <f t="shared" si="6"/>
        <v>0</v>
      </c>
      <c r="GO18" s="127">
        <f t="shared" si="6"/>
        <v>0</v>
      </c>
      <c r="GP18" s="127">
        <f t="shared" si="6"/>
        <v>0</v>
      </c>
      <c r="GQ18" s="127">
        <f t="shared" si="6"/>
        <v>0</v>
      </c>
      <c r="GR18" s="127">
        <f t="shared" si="6"/>
        <v>0</v>
      </c>
      <c r="GS18" s="127">
        <f t="shared" si="6"/>
        <v>0</v>
      </c>
      <c r="GT18" s="127">
        <f t="shared" si="6"/>
        <v>0</v>
      </c>
      <c r="GU18" s="127">
        <f t="shared" si="6"/>
        <v>0</v>
      </c>
      <c r="GV18" s="127">
        <f t="shared" si="6"/>
        <v>0</v>
      </c>
      <c r="GW18" s="127">
        <f t="shared" si="6"/>
        <v>0</v>
      </c>
      <c r="GX18" s="127">
        <f t="shared" si="6"/>
        <v>0</v>
      </c>
    </row>
    <row r="20" spans="1:255" x14ac:dyDescent="0.2">
      <c r="A20" s="125">
        <v>3</v>
      </c>
      <c r="B20" s="125">
        <v>1</v>
      </c>
      <c r="C20" s="125"/>
      <c r="D20" s="125">
        <f>ROW(A65)</f>
        <v>65</v>
      </c>
      <c r="E20" s="125"/>
      <c r="F20" s="125" t="s">
        <v>708</v>
      </c>
      <c r="G20" s="125" t="s">
        <v>798</v>
      </c>
      <c r="H20" s="125"/>
      <c r="I20" s="125">
        <v>0</v>
      </c>
      <c r="J20" s="125"/>
      <c r="K20" s="125">
        <v>-1</v>
      </c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>
        <v>0</v>
      </c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>
        <v>0</v>
      </c>
      <c r="BY20" s="125"/>
      <c r="BZ20" s="125"/>
      <c r="CA20" s="125"/>
      <c r="CB20" s="125"/>
      <c r="CC20" s="125"/>
      <c r="CD20" s="125"/>
      <c r="CE20" s="125"/>
      <c r="CF20" s="125">
        <v>0</v>
      </c>
      <c r="CG20" s="125">
        <v>0</v>
      </c>
      <c r="CH20" s="125"/>
      <c r="CI20" s="125"/>
      <c r="CJ20" s="125"/>
    </row>
    <row r="22" spans="1:255" x14ac:dyDescent="0.2">
      <c r="A22" s="126">
        <v>52</v>
      </c>
      <c r="B22" s="126">
        <f t="shared" ref="B22:G22" si="7">B65</f>
        <v>1</v>
      </c>
      <c r="C22" s="126">
        <f t="shared" si="7"/>
        <v>3</v>
      </c>
      <c r="D22" s="126">
        <f t="shared" si="7"/>
        <v>20</v>
      </c>
      <c r="E22" s="126">
        <f t="shared" si="7"/>
        <v>0</v>
      </c>
      <c r="F22" s="126" t="str">
        <f t="shared" si="7"/>
        <v>02-01-01</v>
      </c>
      <c r="G22" s="126" t="str">
        <f t="shared" si="7"/>
        <v>Замена оконных блоков</v>
      </c>
      <c r="H22" s="126"/>
      <c r="I22" s="126"/>
      <c r="J22" s="126"/>
      <c r="K22" s="126"/>
      <c r="L22" s="126"/>
      <c r="M22" s="126"/>
      <c r="N22" s="126"/>
      <c r="O22" s="126">
        <f t="shared" ref="O22:AT22" si="8">O65</f>
        <v>470688</v>
      </c>
      <c r="P22" s="126">
        <f t="shared" si="8"/>
        <v>400889</v>
      </c>
      <c r="Q22" s="126">
        <f t="shared" si="8"/>
        <v>8101</v>
      </c>
      <c r="R22" s="126">
        <f t="shared" si="8"/>
        <v>353</v>
      </c>
      <c r="S22" s="126">
        <f t="shared" si="8"/>
        <v>61698</v>
      </c>
      <c r="T22" s="126">
        <f t="shared" si="8"/>
        <v>0</v>
      </c>
      <c r="U22" s="126">
        <f t="shared" si="8"/>
        <v>605.78742554999985</v>
      </c>
      <c r="V22" s="126">
        <f t="shared" si="8"/>
        <v>3.7164324999999998</v>
      </c>
      <c r="W22" s="126">
        <f t="shared" si="8"/>
        <v>0</v>
      </c>
      <c r="X22" s="126">
        <f t="shared" si="8"/>
        <v>60110</v>
      </c>
      <c r="Y22" s="126">
        <f t="shared" si="8"/>
        <v>30563</v>
      </c>
      <c r="Z22" s="126">
        <f t="shared" si="8"/>
        <v>0</v>
      </c>
      <c r="AA22" s="126">
        <f t="shared" si="8"/>
        <v>0</v>
      </c>
      <c r="AB22" s="126">
        <f t="shared" si="8"/>
        <v>470688</v>
      </c>
      <c r="AC22" s="126">
        <f t="shared" si="8"/>
        <v>400889</v>
      </c>
      <c r="AD22" s="126">
        <f t="shared" si="8"/>
        <v>8101</v>
      </c>
      <c r="AE22" s="126">
        <f t="shared" si="8"/>
        <v>353</v>
      </c>
      <c r="AF22" s="126">
        <f t="shared" si="8"/>
        <v>61698</v>
      </c>
      <c r="AG22" s="126">
        <f t="shared" si="8"/>
        <v>0</v>
      </c>
      <c r="AH22" s="126">
        <f t="shared" si="8"/>
        <v>605.78742554999985</v>
      </c>
      <c r="AI22" s="126">
        <f t="shared" si="8"/>
        <v>3.7164324999999998</v>
      </c>
      <c r="AJ22" s="126">
        <f t="shared" si="8"/>
        <v>0</v>
      </c>
      <c r="AK22" s="126">
        <f t="shared" si="8"/>
        <v>60110</v>
      </c>
      <c r="AL22" s="126">
        <f t="shared" si="8"/>
        <v>30563</v>
      </c>
      <c r="AM22" s="126">
        <f t="shared" si="8"/>
        <v>0</v>
      </c>
      <c r="AN22" s="126">
        <f t="shared" si="8"/>
        <v>0</v>
      </c>
      <c r="AO22" s="126">
        <f t="shared" si="8"/>
        <v>0</v>
      </c>
      <c r="AP22" s="126">
        <f t="shared" si="8"/>
        <v>0</v>
      </c>
      <c r="AQ22" s="126">
        <f t="shared" si="8"/>
        <v>0</v>
      </c>
      <c r="AR22" s="126">
        <f t="shared" si="8"/>
        <v>561361</v>
      </c>
      <c r="AS22" s="126">
        <f t="shared" si="8"/>
        <v>561361</v>
      </c>
      <c r="AT22" s="126">
        <f t="shared" si="8"/>
        <v>0</v>
      </c>
      <c r="AU22" s="126">
        <f t="shared" ref="AU22:BZ22" si="9">AU65</f>
        <v>0</v>
      </c>
      <c r="AV22" s="126">
        <f t="shared" si="9"/>
        <v>400889</v>
      </c>
      <c r="AW22" s="126">
        <f t="shared" si="9"/>
        <v>400889</v>
      </c>
      <c r="AX22" s="126">
        <f t="shared" si="9"/>
        <v>0</v>
      </c>
      <c r="AY22" s="126">
        <f t="shared" si="9"/>
        <v>400889</v>
      </c>
      <c r="AZ22" s="126">
        <f t="shared" si="9"/>
        <v>0</v>
      </c>
      <c r="BA22" s="126">
        <f t="shared" si="9"/>
        <v>0</v>
      </c>
      <c r="BB22" s="126">
        <f t="shared" si="9"/>
        <v>0</v>
      </c>
      <c r="BC22" s="126">
        <f t="shared" si="9"/>
        <v>0</v>
      </c>
      <c r="BD22" s="126">
        <f t="shared" si="9"/>
        <v>5548</v>
      </c>
      <c r="BE22" s="126">
        <f t="shared" si="9"/>
        <v>0</v>
      </c>
      <c r="BF22" s="126">
        <f t="shared" si="9"/>
        <v>0</v>
      </c>
      <c r="BG22" s="126">
        <f t="shared" si="9"/>
        <v>0</v>
      </c>
      <c r="BH22" s="126">
        <f t="shared" si="9"/>
        <v>0</v>
      </c>
      <c r="BI22" s="126">
        <f t="shared" si="9"/>
        <v>0</v>
      </c>
      <c r="BJ22" s="126">
        <f t="shared" si="9"/>
        <v>0</v>
      </c>
      <c r="BK22" s="126">
        <f t="shared" si="9"/>
        <v>0</v>
      </c>
      <c r="BL22" s="126">
        <f t="shared" si="9"/>
        <v>0</v>
      </c>
      <c r="BM22" s="126">
        <f t="shared" si="9"/>
        <v>0</v>
      </c>
      <c r="BN22" s="126">
        <f t="shared" si="9"/>
        <v>0</v>
      </c>
      <c r="BO22" s="126">
        <f t="shared" si="9"/>
        <v>0</v>
      </c>
      <c r="BP22" s="126">
        <f t="shared" si="9"/>
        <v>0</v>
      </c>
      <c r="BQ22" s="126">
        <f t="shared" si="9"/>
        <v>0</v>
      </c>
      <c r="BR22" s="126">
        <f t="shared" si="9"/>
        <v>0</v>
      </c>
      <c r="BS22" s="126">
        <f t="shared" si="9"/>
        <v>0</v>
      </c>
      <c r="BT22" s="126">
        <f t="shared" si="9"/>
        <v>0</v>
      </c>
      <c r="BU22" s="126">
        <f t="shared" si="9"/>
        <v>0</v>
      </c>
      <c r="BV22" s="126">
        <f t="shared" si="9"/>
        <v>0</v>
      </c>
      <c r="BW22" s="126">
        <f t="shared" si="9"/>
        <v>0</v>
      </c>
      <c r="BX22" s="126">
        <f t="shared" si="9"/>
        <v>0</v>
      </c>
      <c r="BY22" s="126">
        <f t="shared" si="9"/>
        <v>0</v>
      </c>
      <c r="BZ22" s="126">
        <f t="shared" si="9"/>
        <v>0</v>
      </c>
      <c r="CA22" s="126">
        <f t="shared" ref="CA22:DF22" si="10">CA65</f>
        <v>561361</v>
      </c>
      <c r="CB22" s="126">
        <f t="shared" si="10"/>
        <v>561361</v>
      </c>
      <c r="CC22" s="126">
        <f t="shared" si="10"/>
        <v>0</v>
      </c>
      <c r="CD22" s="126">
        <f t="shared" si="10"/>
        <v>0</v>
      </c>
      <c r="CE22" s="126">
        <f t="shared" si="10"/>
        <v>400889</v>
      </c>
      <c r="CF22" s="126">
        <f t="shared" si="10"/>
        <v>400889</v>
      </c>
      <c r="CG22" s="126">
        <f t="shared" si="10"/>
        <v>0</v>
      </c>
      <c r="CH22" s="126">
        <f t="shared" si="10"/>
        <v>400889</v>
      </c>
      <c r="CI22" s="126">
        <f t="shared" si="10"/>
        <v>0</v>
      </c>
      <c r="CJ22" s="126">
        <f t="shared" si="10"/>
        <v>0</v>
      </c>
      <c r="CK22" s="126">
        <f t="shared" si="10"/>
        <v>0</v>
      </c>
      <c r="CL22" s="126">
        <f t="shared" si="10"/>
        <v>0</v>
      </c>
      <c r="CM22" s="126">
        <f t="shared" si="10"/>
        <v>5548</v>
      </c>
      <c r="CN22" s="126">
        <f t="shared" si="10"/>
        <v>0</v>
      </c>
      <c r="CO22" s="126">
        <f t="shared" si="10"/>
        <v>0</v>
      </c>
      <c r="CP22" s="126">
        <f t="shared" si="10"/>
        <v>0</v>
      </c>
      <c r="CQ22" s="126">
        <f t="shared" si="10"/>
        <v>0</v>
      </c>
      <c r="CR22" s="126">
        <f t="shared" si="10"/>
        <v>0</v>
      </c>
      <c r="CS22" s="126">
        <f t="shared" si="10"/>
        <v>0</v>
      </c>
      <c r="CT22" s="126">
        <f t="shared" si="10"/>
        <v>0</v>
      </c>
      <c r="CU22" s="126">
        <f t="shared" si="10"/>
        <v>0</v>
      </c>
      <c r="CV22" s="126">
        <f t="shared" si="10"/>
        <v>0</v>
      </c>
      <c r="CW22" s="126">
        <f t="shared" si="10"/>
        <v>0</v>
      </c>
      <c r="CX22" s="126">
        <f t="shared" si="10"/>
        <v>0</v>
      </c>
      <c r="CY22" s="126">
        <f t="shared" si="10"/>
        <v>0</v>
      </c>
      <c r="CZ22" s="126">
        <f t="shared" si="10"/>
        <v>0</v>
      </c>
      <c r="DA22" s="126">
        <f t="shared" si="10"/>
        <v>0</v>
      </c>
      <c r="DB22" s="126">
        <f t="shared" si="10"/>
        <v>0</v>
      </c>
      <c r="DC22" s="126">
        <f t="shared" si="10"/>
        <v>0</v>
      </c>
      <c r="DD22" s="126">
        <f t="shared" si="10"/>
        <v>0</v>
      </c>
      <c r="DE22" s="126">
        <f t="shared" si="10"/>
        <v>0</v>
      </c>
      <c r="DF22" s="126">
        <f t="shared" si="10"/>
        <v>0</v>
      </c>
      <c r="DG22" s="127">
        <f t="shared" ref="DG22:EL22" si="11">DG65</f>
        <v>571339</v>
      </c>
      <c r="DH22" s="127">
        <f t="shared" si="11"/>
        <v>461934</v>
      </c>
      <c r="DI22" s="127">
        <f t="shared" si="11"/>
        <v>12201</v>
      </c>
      <c r="DJ22" s="127">
        <f t="shared" si="11"/>
        <v>2556</v>
      </c>
      <c r="DK22" s="127">
        <f t="shared" si="11"/>
        <v>97204</v>
      </c>
      <c r="DL22" s="127">
        <f t="shared" si="11"/>
        <v>0</v>
      </c>
      <c r="DM22" s="127">
        <f t="shared" si="11"/>
        <v>605.78742554999985</v>
      </c>
      <c r="DN22" s="127">
        <f t="shared" si="11"/>
        <v>3.7164324999999998</v>
      </c>
      <c r="DO22" s="127">
        <f t="shared" si="11"/>
        <v>0</v>
      </c>
      <c r="DP22" s="127">
        <f t="shared" si="11"/>
        <v>91605</v>
      </c>
      <c r="DQ22" s="127">
        <f t="shared" si="11"/>
        <v>52087</v>
      </c>
      <c r="DR22" s="127">
        <f t="shared" si="11"/>
        <v>0</v>
      </c>
      <c r="DS22" s="127">
        <f t="shared" si="11"/>
        <v>0</v>
      </c>
      <c r="DT22" s="127">
        <f t="shared" si="11"/>
        <v>571339</v>
      </c>
      <c r="DU22" s="127">
        <f t="shared" si="11"/>
        <v>461934</v>
      </c>
      <c r="DV22" s="127">
        <f t="shared" si="11"/>
        <v>12201</v>
      </c>
      <c r="DW22" s="127">
        <f t="shared" si="11"/>
        <v>2556</v>
      </c>
      <c r="DX22" s="127">
        <f t="shared" si="11"/>
        <v>97204</v>
      </c>
      <c r="DY22" s="127">
        <f t="shared" si="11"/>
        <v>0</v>
      </c>
      <c r="DZ22" s="127">
        <f t="shared" si="11"/>
        <v>605.78742554999985</v>
      </c>
      <c r="EA22" s="127">
        <f t="shared" si="11"/>
        <v>3.7164324999999998</v>
      </c>
      <c r="EB22" s="127">
        <f t="shared" si="11"/>
        <v>0</v>
      </c>
      <c r="EC22" s="127">
        <f t="shared" si="11"/>
        <v>91605</v>
      </c>
      <c r="ED22" s="127">
        <f t="shared" si="11"/>
        <v>52087</v>
      </c>
      <c r="EE22" s="127">
        <f t="shared" si="11"/>
        <v>0</v>
      </c>
      <c r="EF22" s="127">
        <f t="shared" si="11"/>
        <v>0</v>
      </c>
      <c r="EG22" s="127">
        <f t="shared" si="11"/>
        <v>0</v>
      </c>
      <c r="EH22" s="127">
        <f t="shared" si="11"/>
        <v>0</v>
      </c>
      <c r="EI22" s="127">
        <f t="shared" si="11"/>
        <v>0</v>
      </c>
      <c r="EJ22" s="127">
        <f t="shared" si="11"/>
        <v>715031</v>
      </c>
      <c r="EK22" s="127">
        <f t="shared" si="11"/>
        <v>715031</v>
      </c>
      <c r="EL22" s="127">
        <f t="shared" si="11"/>
        <v>0</v>
      </c>
      <c r="EM22" s="127">
        <f t="shared" ref="EM22:FR22" si="12">EM65</f>
        <v>0</v>
      </c>
      <c r="EN22" s="127">
        <f t="shared" si="12"/>
        <v>461934</v>
      </c>
      <c r="EO22" s="127">
        <f t="shared" si="12"/>
        <v>461934</v>
      </c>
      <c r="EP22" s="127">
        <f t="shared" si="12"/>
        <v>0</v>
      </c>
      <c r="EQ22" s="127">
        <f t="shared" si="12"/>
        <v>461934</v>
      </c>
      <c r="ER22" s="127">
        <f t="shared" si="12"/>
        <v>0</v>
      </c>
      <c r="ES22" s="127">
        <f t="shared" si="12"/>
        <v>0</v>
      </c>
      <c r="ET22" s="127">
        <f t="shared" si="12"/>
        <v>0</v>
      </c>
      <c r="EU22" s="127">
        <f t="shared" si="12"/>
        <v>0</v>
      </c>
      <c r="EV22" s="127">
        <f t="shared" si="12"/>
        <v>8793</v>
      </c>
      <c r="EW22" s="127">
        <f t="shared" si="12"/>
        <v>0</v>
      </c>
      <c r="EX22" s="127">
        <f t="shared" si="12"/>
        <v>0</v>
      </c>
      <c r="EY22" s="127">
        <f t="shared" si="12"/>
        <v>0</v>
      </c>
      <c r="EZ22" s="127">
        <f t="shared" si="12"/>
        <v>0</v>
      </c>
      <c r="FA22" s="127">
        <f t="shared" si="12"/>
        <v>0</v>
      </c>
      <c r="FB22" s="127">
        <f t="shared" si="12"/>
        <v>0</v>
      </c>
      <c r="FC22" s="127">
        <f t="shared" si="12"/>
        <v>0</v>
      </c>
      <c r="FD22" s="127">
        <f t="shared" si="12"/>
        <v>0</v>
      </c>
      <c r="FE22" s="127">
        <f t="shared" si="12"/>
        <v>0</v>
      </c>
      <c r="FF22" s="127">
        <f t="shared" si="12"/>
        <v>0</v>
      </c>
      <c r="FG22" s="127">
        <f t="shared" si="12"/>
        <v>0</v>
      </c>
      <c r="FH22" s="127">
        <f t="shared" si="12"/>
        <v>0</v>
      </c>
      <c r="FI22" s="127">
        <f t="shared" si="12"/>
        <v>0</v>
      </c>
      <c r="FJ22" s="127">
        <f t="shared" si="12"/>
        <v>0</v>
      </c>
      <c r="FK22" s="127">
        <f t="shared" si="12"/>
        <v>0</v>
      </c>
      <c r="FL22" s="127">
        <f t="shared" si="12"/>
        <v>0</v>
      </c>
      <c r="FM22" s="127">
        <f t="shared" si="12"/>
        <v>0</v>
      </c>
      <c r="FN22" s="127">
        <f t="shared" si="12"/>
        <v>0</v>
      </c>
      <c r="FO22" s="127">
        <f t="shared" si="12"/>
        <v>0</v>
      </c>
      <c r="FP22" s="127">
        <f t="shared" si="12"/>
        <v>0</v>
      </c>
      <c r="FQ22" s="127">
        <f t="shared" si="12"/>
        <v>0</v>
      </c>
      <c r="FR22" s="127">
        <f t="shared" si="12"/>
        <v>0</v>
      </c>
      <c r="FS22" s="127">
        <f t="shared" ref="FS22:GX22" si="13">FS65</f>
        <v>715031</v>
      </c>
      <c r="FT22" s="127">
        <f t="shared" si="13"/>
        <v>715031</v>
      </c>
      <c r="FU22" s="127">
        <f t="shared" si="13"/>
        <v>0</v>
      </c>
      <c r="FV22" s="127">
        <f t="shared" si="13"/>
        <v>0</v>
      </c>
      <c r="FW22" s="127">
        <f t="shared" si="13"/>
        <v>461934</v>
      </c>
      <c r="FX22" s="127">
        <f t="shared" si="13"/>
        <v>461934</v>
      </c>
      <c r="FY22" s="127">
        <f t="shared" si="13"/>
        <v>0</v>
      </c>
      <c r="FZ22" s="127">
        <f t="shared" si="13"/>
        <v>461934</v>
      </c>
      <c r="GA22" s="127">
        <f t="shared" si="13"/>
        <v>0</v>
      </c>
      <c r="GB22" s="127">
        <f t="shared" si="13"/>
        <v>0</v>
      </c>
      <c r="GC22" s="127">
        <f t="shared" si="13"/>
        <v>0</v>
      </c>
      <c r="GD22" s="127">
        <f t="shared" si="13"/>
        <v>0</v>
      </c>
      <c r="GE22" s="127">
        <f t="shared" si="13"/>
        <v>8793</v>
      </c>
      <c r="GF22" s="127">
        <f t="shared" si="13"/>
        <v>0</v>
      </c>
      <c r="GG22" s="127">
        <f t="shared" si="13"/>
        <v>0</v>
      </c>
      <c r="GH22" s="127">
        <f t="shared" si="13"/>
        <v>0</v>
      </c>
      <c r="GI22" s="127">
        <f t="shared" si="13"/>
        <v>0</v>
      </c>
      <c r="GJ22" s="127">
        <f t="shared" si="13"/>
        <v>0</v>
      </c>
      <c r="GK22" s="127">
        <f t="shared" si="13"/>
        <v>0</v>
      </c>
      <c r="GL22" s="127">
        <f t="shared" si="13"/>
        <v>0</v>
      </c>
      <c r="GM22" s="127">
        <f t="shared" si="13"/>
        <v>0</v>
      </c>
      <c r="GN22" s="127">
        <f t="shared" si="13"/>
        <v>0</v>
      </c>
      <c r="GO22" s="127">
        <f t="shared" si="13"/>
        <v>0</v>
      </c>
      <c r="GP22" s="127">
        <f t="shared" si="13"/>
        <v>0</v>
      </c>
      <c r="GQ22" s="127">
        <f t="shared" si="13"/>
        <v>0</v>
      </c>
      <c r="GR22" s="127">
        <f t="shared" si="13"/>
        <v>0</v>
      </c>
      <c r="GS22" s="127">
        <f t="shared" si="13"/>
        <v>0</v>
      </c>
      <c r="GT22" s="127">
        <f t="shared" si="13"/>
        <v>0</v>
      </c>
      <c r="GU22" s="127">
        <f t="shared" si="13"/>
        <v>0</v>
      </c>
      <c r="GV22" s="127">
        <f t="shared" si="13"/>
        <v>0</v>
      </c>
      <c r="GW22" s="127">
        <f t="shared" si="13"/>
        <v>0</v>
      </c>
      <c r="GX22" s="127">
        <f t="shared" si="13"/>
        <v>0</v>
      </c>
    </row>
    <row r="24" spans="1:255" x14ac:dyDescent="0.2">
      <c r="A24" s="128">
        <v>17</v>
      </c>
      <c r="B24" s="128">
        <v>1</v>
      </c>
      <c r="C24" s="128">
        <f>ROW(SmtRes!A6)</f>
        <v>6</v>
      </c>
      <c r="D24" s="128">
        <f>ROW(EtalonRes!A6)</f>
        <v>6</v>
      </c>
      <c r="E24" s="128" t="s">
        <v>87</v>
      </c>
      <c r="F24" s="128" t="s">
        <v>799</v>
      </c>
      <c r="G24" s="128" t="s">
        <v>107</v>
      </c>
      <c r="H24" s="128" t="s">
        <v>800</v>
      </c>
      <c r="I24" s="128">
        <f>ROUND((1+5+9+1+10+1)/100,3)</f>
        <v>0.27</v>
      </c>
      <c r="J24" s="128">
        <v>0</v>
      </c>
      <c r="K24" s="128"/>
      <c r="L24" s="128"/>
      <c r="M24" s="128"/>
      <c r="N24" s="128"/>
      <c r="O24" s="128">
        <f t="shared" ref="O24:O63" si="14">ROUND(CP24,0)</f>
        <v>296</v>
      </c>
      <c r="P24" s="128">
        <f t="shared" ref="P24:P63" si="15">ROUND(CQ24*I24,0)</f>
        <v>0</v>
      </c>
      <c r="Q24" s="128">
        <f t="shared" ref="Q24:Q63" si="16">ROUND(CR24*I24,0)</f>
        <v>31</v>
      </c>
      <c r="R24" s="128">
        <f t="shared" ref="R24:R63" si="17">ROUND(CS24*I24,0)</f>
        <v>6</v>
      </c>
      <c r="S24" s="128">
        <f t="shared" ref="S24:S63" si="18">ROUND(CT24*I24,0)</f>
        <v>265</v>
      </c>
      <c r="T24" s="128">
        <f t="shared" ref="T24:T63" si="19">ROUND(CU24*I24,0)</f>
        <v>0</v>
      </c>
      <c r="U24" s="128">
        <f t="shared" ref="U24:U63" si="20">CV24*I24</f>
        <v>34.757100000000001</v>
      </c>
      <c r="V24" s="128">
        <f t="shared" ref="V24:V63" si="21">CW24*I24</f>
        <v>0.58050000000000002</v>
      </c>
      <c r="W24" s="128">
        <f t="shared" ref="W24:W63" si="22">ROUND(CX24*I24,0)</f>
        <v>0</v>
      </c>
      <c r="X24" s="128">
        <f t="shared" ref="X24:X63" si="23">ROUND(CY24,0)</f>
        <v>222</v>
      </c>
      <c r="Y24" s="128">
        <f t="shared" ref="Y24:Y63" si="24">ROUND(CZ24,0)</f>
        <v>168</v>
      </c>
      <c r="Z24" s="128"/>
      <c r="AA24" s="128">
        <v>51866573</v>
      </c>
      <c r="AB24" s="128">
        <f t="shared" ref="AB24:AB63" si="25">ROUND((AC24+AD24+AF24),6)</f>
        <v>1095.6579999999999</v>
      </c>
      <c r="AC24" s="128">
        <f t="shared" ref="AC24:AC31" si="26">ROUND((0),6)</f>
        <v>0</v>
      </c>
      <c r="AD24" s="128">
        <f>ROUND((((SUM(SmtRes!BR1:BR6))-(SUM(SmtRes!BS1:BS6)))+AE24),6)</f>
        <v>113.4481</v>
      </c>
      <c r="AE24" s="128">
        <f>ROUND((SUM(SmtRes!BS1:BS6)),6)</f>
        <v>21.52</v>
      </c>
      <c r="AF24" s="128">
        <f>ROUND((SUM(SmtRes!BT1:BT6)),6)</f>
        <v>982.20989999999995</v>
      </c>
      <c r="AG24" s="128">
        <f t="shared" ref="AG24:AG63" si="27">ROUND((AP24),6)</f>
        <v>0</v>
      </c>
      <c r="AH24" s="128">
        <f>(SUM(SmtRes!BU1:BU6))</f>
        <v>128.72999999999999</v>
      </c>
      <c r="AI24" s="128">
        <f>(SUM(SmtRes!BV1:BV6))</f>
        <v>2.15</v>
      </c>
      <c r="AJ24" s="128">
        <f t="shared" ref="AJ24:AJ63" si="28">(AS24)</f>
        <v>0</v>
      </c>
      <c r="AK24" s="128">
        <v>1095.6579999999999</v>
      </c>
      <c r="AL24" s="128">
        <v>0</v>
      </c>
      <c r="AM24" s="128">
        <v>113.4481</v>
      </c>
      <c r="AN24" s="128">
        <v>21.52</v>
      </c>
      <c r="AO24" s="128">
        <v>982.20989999999995</v>
      </c>
      <c r="AP24" s="128">
        <v>0</v>
      </c>
      <c r="AQ24" s="128">
        <v>128.72999999999999</v>
      </c>
      <c r="AR24" s="128">
        <v>2.15</v>
      </c>
      <c r="AS24" s="128">
        <v>0</v>
      </c>
      <c r="AT24" s="128">
        <v>82</v>
      </c>
      <c r="AU24" s="128">
        <v>62</v>
      </c>
      <c r="AV24" s="128">
        <v>1</v>
      </c>
      <c r="AW24" s="128">
        <v>1</v>
      </c>
      <c r="AX24" s="128"/>
      <c r="AY24" s="128"/>
      <c r="AZ24" s="128">
        <v>1</v>
      </c>
      <c r="BA24" s="128">
        <v>1</v>
      </c>
      <c r="BB24" s="128">
        <v>1</v>
      </c>
      <c r="BC24" s="128">
        <v>1</v>
      </c>
      <c r="BD24" s="128"/>
      <c r="BE24" s="128"/>
      <c r="BF24" s="128"/>
      <c r="BG24" s="128"/>
      <c r="BH24" s="128">
        <v>0</v>
      </c>
      <c r="BI24" s="128">
        <v>1</v>
      </c>
      <c r="BJ24" s="128" t="s">
        <v>801</v>
      </c>
      <c r="BK24" s="128"/>
      <c r="BL24" s="128"/>
      <c r="BM24" s="128">
        <v>56001</v>
      </c>
      <c r="BN24" s="128">
        <v>0</v>
      </c>
      <c r="BO24" s="128"/>
      <c r="BP24" s="128">
        <v>0</v>
      </c>
      <c r="BQ24" s="128">
        <v>6</v>
      </c>
      <c r="BR24" s="128">
        <v>0</v>
      </c>
      <c r="BS24" s="128">
        <v>1</v>
      </c>
      <c r="BT24" s="128">
        <v>1</v>
      </c>
      <c r="BU24" s="128">
        <v>1</v>
      </c>
      <c r="BV24" s="128">
        <v>1</v>
      </c>
      <c r="BW24" s="128">
        <v>1</v>
      </c>
      <c r="BX24" s="128">
        <v>1</v>
      </c>
      <c r="BY24" s="128"/>
      <c r="BZ24" s="128">
        <v>82</v>
      </c>
      <c r="CA24" s="128">
        <v>62</v>
      </c>
      <c r="CB24" s="128"/>
      <c r="CC24" s="128"/>
      <c r="CD24" s="128"/>
      <c r="CE24" s="128">
        <v>0</v>
      </c>
      <c r="CF24" s="128">
        <v>0</v>
      </c>
      <c r="CG24" s="128">
        <v>0</v>
      </c>
      <c r="CH24" s="128"/>
      <c r="CI24" s="128"/>
      <c r="CJ24" s="128"/>
      <c r="CK24" s="128"/>
      <c r="CL24" s="128"/>
      <c r="CM24" s="128">
        <v>0</v>
      </c>
      <c r="CN24" s="128"/>
      <c r="CO24" s="128">
        <v>0</v>
      </c>
      <c r="CP24" s="128">
        <f t="shared" ref="CP24:CP63" si="29">(P24+Q24+S24)</f>
        <v>296</v>
      </c>
      <c r="CQ24" s="128">
        <f t="shared" ref="CQ24:CQ63" si="30">AC24*BC24</f>
        <v>0</v>
      </c>
      <c r="CR24" s="128">
        <f t="shared" ref="CR24:CR63" si="31">AD24*BB24</f>
        <v>113.4481</v>
      </c>
      <c r="CS24" s="128">
        <f t="shared" ref="CS24:CS63" si="32">AE24*BS24</f>
        <v>21.52</v>
      </c>
      <c r="CT24" s="128">
        <f t="shared" ref="CT24:CT63" si="33">AF24*BA24</f>
        <v>982.20989999999995</v>
      </c>
      <c r="CU24" s="128">
        <f t="shared" ref="CU24:CU63" si="34">AG24</f>
        <v>0</v>
      </c>
      <c r="CV24" s="128">
        <f t="shared" ref="CV24:CV63" si="35">AH24</f>
        <v>128.72999999999999</v>
      </c>
      <c r="CW24" s="128">
        <f t="shared" ref="CW24:CW63" si="36">AI24</f>
        <v>2.15</v>
      </c>
      <c r="CX24" s="128">
        <f t="shared" ref="CX24:CX63" si="37">AJ24</f>
        <v>0</v>
      </c>
      <c r="CY24" s="128">
        <f t="shared" ref="CY24:CY63" si="38">(((S24+R24)*AT24)/100)</f>
        <v>222.22</v>
      </c>
      <c r="CZ24" s="128">
        <f t="shared" ref="CZ24:CZ63" si="39">(((S24+R24)*AU24)/100)</f>
        <v>168.02</v>
      </c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>
        <v>0</v>
      </c>
      <c r="DO24" s="128">
        <v>0</v>
      </c>
      <c r="DP24" s="128">
        <v>1</v>
      </c>
      <c r="DQ24" s="128">
        <v>1</v>
      </c>
      <c r="DR24" s="128"/>
      <c r="DS24" s="128"/>
      <c r="DT24" s="128"/>
      <c r="DU24" s="128">
        <v>1013</v>
      </c>
      <c r="DV24" s="128" t="s">
        <v>800</v>
      </c>
      <c r="DW24" s="128" t="s">
        <v>800</v>
      </c>
      <c r="DX24" s="128">
        <v>1</v>
      </c>
      <c r="DY24" s="128"/>
      <c r="DZ24" s="128"/>
      <c r="EA24" s="128"/>
      <c r="EB24" s="128"/>
      <c r="EC24" s="128"/>
      <c r="ED24" s="128"/>
      <c r="EE24" s="128">
        <v>49587917</v>
      </c>
      <c r="EF24" s="128">
        <v>6</v>
      </c>
      <c r="EG24" s="128" t="s">
        <v>802</v>
      </c>
      <c r="EH24" s="128">
        <v>0</v>
      </c>
      <c r="EI24" s="128"/>
      <c r="EJ24" s="128">
        <v>1</v>
      </c>
      <c r="EK24" s="128">
        <v>56001</v>
      </c>
      <c r="EL24" s="128" t="s">
        <v>5</v>
      </c>
      <c r="EM24" s="128" t="s">
        <v>803</v>
      </c>
      <c r="EN24" s="128"/>
      <c r="EO24" s="128"/>
      <c r="EP24" s="128"/>
      <c r="EQ24" s="128">
        <v>0</v>
      </c>
      <c r="ER24" s="128">
        <v>1095.6600000000001</v>
      </c>
      <c r="ES24" s="128">
        <v>0</v>
      </c>
      <c r="ET24" s="128">
        <v>113.45</v>
      </c>
      <c r="EU24" s="128">
        <v>21.52</v>
      </c>
      <c r="EV24" s="128">
        <v>982.21</v>
      </c>
      <c r="EW24" s="128">
        <v>128.72999999999999</v>
      </c>
      <c r="EX24" s="128">
        <v>2.15</v>
      </c>
      <c r="EY24" s="128">
        <v>0</v>
      </c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>
        <v>0</v>
      </c>
      <c r="FR24" s="128">
        <f t="shared" ref="FR24:FR63" si="40">ROUND(IF(AND(BH24=3,BI24=3),P24,0),0)</f>
        <v>0</v>
      </c>
      <c r="FS24" s="128">
        <v>0</v>
      </c>
      <c r="FT24" s="128"/>
      <c r="FU24" s="128"/>
      <c r="FV24" s="128"/>
      <c r="FW24" s="128"/>
      <c r="FX24" s="128">
        <v>82</v>
      </c>
      <c r="FY24" s="128">
        <v>62</v>
      </c>
      <c r="FZ24" s="128"/>
      <c r="GA24" s="128"/>
      <c r="GB24" s="128"/>
      <c r="GC24" s="128"/>
      <c r="GD24" s="128">
        <v>1</v>
      </c>
      <c r="GE24" s="128"/>
      <c r="GF24" s="128">
        <v>1658137313</v>
      </c>
      <c r="GG24" s="128">
        <v>2</v>
      </c>
      <c r="GH24" s="128">
        <v>1</v>
      </c>
      <c r="GI24" s="128">
        <v>-2</v>
      </c>
      <c r="GJ24" s="128">
        <v>0</v>
      </c>
      <c r="GK24" s="128">
        <v>0</v>
      </c>
      <c r="GL24" s="128">
        <f t="shared" ref="GL24:GL63" si="41">ROUND(IF(AND(BH24=3,BI24=3,FS24&lt;&gt;0),P24,0),0)</f>
        <v>0</v>
      </c>
      <c r="GM24" s="128">
        <f t="shared" ref="GM24:GM63" si="42">ROUND(O24+X24+Y24,0)+GX24</f>
        <v>686</v>
      </c>
      <c r="GN24" s="128">
        <f t="shared" ref="GN24:GN63" si="43">IF(OR(BI24=0,BI24=1),ROUND(O24+X24+Y24,0),0)</f>
        <v>686</v>
      </c>
      <c r="GO24" s="128">
        <f t="shared" ref="GO24:GO63" si="44">IF(BI24=2,ROUND(O24+X24+Y24,0),0)</f>
        <v>0</v>
      </c>
      <c r="GP24" s="128">
        <f t="shared" ref="GP24:GP63" si="45">IF(BI24=4,ROUND(O24+X24+Y24,0)+GX24,0)</f>
        <v>0</v>
      </c>
      <c r="GQ24" s="128"/>
      <c r="GR24" s="128">
        <v>0</v>
      </c>
      <c r="GS24" s="128">
        <v>3</v>
      </c>
      <c r="GT24" s="128">
        <v>0</v>
      </c>
      <c r="GU24" s="128"/>
      <c r="GV24" s="128">
        <f t="shared" ref="GV24:GV63" si="46">ROUND((GT24),6)</f>
        <v>0</v>
      </c>
      <c r="GW24" s="128">
        <v>1</v>
      </c>
      <c r="GX24" s="128">
        <f t="shared" ref="GX24:GX63" si="47">ROUND(HC24*I24,0)</f>
        <v>0</v>
      </c>
      <c r="GY24" s="128"/>
      <c r="GZ24" s="128"/>
      <c r="HA24" s="128">
        <v>0</v>
      </c>
      <c r="HB24" s="128">
        <v>0</v>
      </c>
      <c r="HC24" s="128">
        <f t="shared" ref="HC24:HC63" si="48">GV24*GW24</f>
        <v>0</v>
      </c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>
        <v>0</v>
      </c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</row>
    <row r="25" spans="1:255" x14ac:dyDescent="0.2">
      <c r="A25">
        <v>17</v>
      </c>
      <c r="B25">
        <v>1</v>
      </c>
      <c r="C25">
        <f>ROW(SmtRes!A12)</f>
        <v>12</v>
      </c>
      <c r="D25">
        <f>ROW(EtalonRes!A12)</f>
        <v>12</v>
      </c>
      <c r="E25" t="s">
        <v>87</v>
      </c>
      <c r="F25" t="s">
        <v>799</v>
      </c>
      <c r="G25" t="s">
        <v>107</v>
      </c>
      <c r="H25" t="s">
        <v>800</v>
      </c>
      <c r="I25">
        <f>ROUND((1+5+9+1+10+1)/100,3)</f>
        <v>0.27</v>
      </c>
      <c r="J25">
        <v>0</v>
      </c>
      <c r="O25">
        <f t="shared" si="14"/>
        <v>5512</v>
      </c>
      <c r="P25">
        <f t="shared" si="15"/>
        <v>0</v>
      </c>
      <c r="Q25">
        <f t="shared" si="16"/>
        <v>278</v>
      </c>
      <c r="R25">
        <f t="shared" si="17"/>
        <v>115</v>
      </c>
      <c r="S25">
        <f t="shared" si="18"/>
        <v>5234</v>
      </c>
      <c r="T25">
        <f t="shared" si="19"/>
        <v>0</v>
      </c>
      <c r="U25">
        <f t="shared" si="20"/>
        <v>34.757100000000001</v>
      </c>
      <c r="V25">
        <f t="shared" si="21"/>
        <v>0.58050000000000002</v>
      </c>
      <c r="W25">
        <f t="shared" si="22"/>
        <v>0</v>
      </c>
      <c r="X25">
        <f t="shared" si="23"/>
        <v>4386</v>
      </c>
      <c r="Y25">
        <f t="shared" si="24"/>
        <v>3316</v>
      </c>
      <c r="AA25">
        <v>51866571</v>
      </c>
      <c r="AB25">
        <f t="shared" si="25"/>
        <v>20416.1021</v>
      </c>
      <c r="AC25">
        <f t="shared" si="26"/>
        <v>0</v>
      </c>
      <c r="AD25">
        <f>ROUND((((SUM(SmtRes!BR7:BR12))-(SUM(SmtRes!BS7:BS12)))+AE25),6)</f>
        <v>1029.3641</v>
      </c>
      <c r="AE25">
        <f>ROUND((SUM(SmtRes!BS7:BS12)),6)</f>
        <v>425.238</v>
      </c>
      <c r="AF25">
        <f>ROUND((SUM(SmtRes!BT7:BT12)),6)</f>
        <v>19386.738000000001</v>
      </c>
      <c r="AG25">
        <f t="shared" si="27"/>
        <v>0</v>
      </c>
      <c r="AH25">
        <f>(SUM(SmtRes!BU7:BU12))</f>
        <v>128.72999999999999</v>
      </c>
      <c r="AI25">
        <f>(SUM(SmtRes!BV7:BV12))</f>
        <v>2.15</v>
      </c>
      <c r="AJ25">
        <f t="shared" si="28"/>
        <v>0</v>
      </c>
      <c r="AK25">
        <v>20416.1021</v>
      </c>
      <c r="AL25">
        <v>0</v>
      </c>
      <c r="AM25">
        <v>1029.3641</v>
      </c>
      <c r="AN25">
        <v>425.238</v>
      </c>
      <c r="AO25">
        <v>19386.738000000001</v>
      </c>
      <c r="AP25">
        <v>0</v>
      </c>
      <c r="AQ25">
        <v>128.72999999999999</v>
      </c>
      <c r="AR25">
        <v>2.15</v>
      </c>
      <c r="AS25">
        <v>0</v>
      </c>
      <c r="AT25">
        <v>82</v>
      </c>
      <c r="AU25">
        <v>62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H25">
        <v>0</v>
      </c>
      <c r="BI25">
        <v>1</v>
      </c>
      <c r="BJ25" t="s">
        <v>801</v>
      </c>
      <c r="BM25">
        <v>56001</v>
      </c>
      <c r="BN25">
        <v>0</v>
      </c>
      <c r="BP25">
        <v>0</v>
      </c>
      <c r="BQ25">
        <v>6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Z25">
        <v>82</v>
      </c>
      <c r="CA25">
        <v>62</v>
      </c>
      <c r="CE25">
        <v>0</v>
      </c>
      <c r="CF25">
        <v>0</v>
      </c>
      <c r="CG25">
        <v>0</v>
      </c>
      <c r="CM25">
        <v>0</v>
      </c>
      <c r="CO25">
        <v>0</v>
      </c>
      <c r="CP25">
        <f t="shared" si="29"/>
        <v>5512</v>
      </c>
      <c r="CQ25">
        <f t="shared" si="30"/>
        <v>0</v>
      </c>
      <c r="CR25">
        <f t="shared" si="31"/>
        <v>1029.3641</v>
      </c>
      <c r="CS25">
        <f t="shared" si="32"/>
        <v>425.238</v>
      </c>
      <c r="CT25">
        <f t="shared" si="33"/>
        <v>19386.738000000001</v>
      </c>
      <c r="CU25">
        <f t="shared" si="34"/>
        <v>0</v>
      </c>
      <c r="CV25">
        <f t="shared" si="35"/>
        <v>128.72999999999999</v>
      </c>
      <c r="CW25">
        <f t="shared" si="36"/>
        <v>2.15</v>
      </c>
      <c r="CX25">
        <f t="shared" si="37"/>
        <v>0</v>
      </c>
      <c r="CY25">
        <f t="shared" si="38"/>
        <v>4386.18</v>
      </c>
      <c r="CZ25">
        <f t="shared" si="39"/>
        <v>3316.38</v>
      </c>
      <c r="DN25">
        <v>0</v>
      </c>
      <c r="DO25">
        <v>0</v>
      </c>
      <c r="DP25">
        <v>1</v>
      </c>
      <c r="DQ25">
        <v>1</v>
      </c>
      <c r="DU25">
        <v>1013</v>
      </c>
      <c r="DV25" t="s">
        <v>800</v>
      </c>
      <c r="DW25" t="s">
        <v>800</v>
      </c>
      <c r="DX25">
        <v>1</v>
      </c>
      <c r="EE25">
        <v>49587917</v>
      </c>
      <c r="EF25">
        <v>6</v>
      </c>
      <c r="EG25" t="s">
        <v>802</v>
      </c>
      <c r="EH25">
        <v>0</v>
      </c>
      <c r="EJ25">
        <v>1</v>
      </c>
      <c r="EK25">
        <v>56001</v>
      </c>
      <c r="EL25" t="s">
        <v>5</v>
      </c>
      <c r="EM25" t="s">
        <v>803</v>
      </c>
      <c r="EQ25">
        <v>0</v>
      </c>
      <c r="ER25">
        <v>1095.6600000000001</v>
      </c>
      <c r="ES25">
        <v>0</v>
      </c>
      <c r="ET25">
        <v>113.45</v>
      </c>
      <c r="EU25">
        <v>21.52</v>
      </c>
      <c r="EV25">
        <v>982.21</v>
      </c>
      <c r="EW25">
        <v>128.72999999999999</v>
      </c>
      <c r="EX25">
        <v>2.15</v>
      </c>
      <c r="EY25">
        <v>0</v>
      </c>
      <c r="FQ25">
        <v>0</v>
      </c>
      <c r="FR25">
        <f t="shared" si="40"/>
        <v>0</v>
      </c>
      <c r="FS25">
        <v>0</v>
      </c>
      <c r="FX25">
        <v>82</v>
      </c>
      <c r="FY25">
        <v>62</v>
      </c>
      <c r="GD25">
        <v>1</v>
      </c>
      <c r="GF25">
        <v>1658137313</v>
      </c>
      <c r="GG25">
        <v>2</v>
      </c>
      <c r="GH25">
        <v>1</v>
      </c>
      <c r="GI25">
        <v>-2</v>
      </c>
      <c r="GJ25">
        <v>0</v>
      </c>
      <c r="GK25">
        <v>0</v>
      </c>
      <c r="GL25">
        <f t="shared" si="41"/>
        <v>0</v>
      </c>
      <c r="GM25">
        <f t="shared" si="42"/>
        <v>13214</v>
      </c>
      <c r="GN25">
        <f t="shared" si="43"/>
        <v>13214</v>
      </c>
      <c r="GO25">
        <f t="shared" si="44"/>
        <v>0</v>
      </c>
      <c r="GP25">
        <f t="shared" si="45"/>
        <v>0</v>
      </c>
      <c r="GR25">
        <v>0</v>
      </c>
      <c r="GS25">
        <v>3</v>
      </c>
      <c r="GT25">
        <v>0</v>
      </c>
      <c r="GV25">
        <f t="shared" si="46"/>
        <v>0</v>
      </c>
      <c r="GW25">
        <v>1</v>
      </c>
      <c r="GX25">
        <f t="shared" si="47"/>
        <v>0</v>
      </c>
      <c r="HA25">
        <v>0</v>
      </c>
      <c r="HB25">
        <v>0</v>
      </c>
      <c r="HC25">
        <f t="shared" si="48"/>
        <v>0</v>
      </c>
      <c r="IK25">
        <v>0</v>
      </c>
    </row>
    <row r="26" spans="1:255" x14ac:dyDescent="0.2">
      <c r="A26" s="128">
        <v>17</v>
      </c>
      <c r="B26" s="128">
        <v>1</v>
      </c>
      <c r="C26" s="128">
        <f>ROW(SmtRes!A16)</f>
        <v>16</v>
      </c>
      <c r="D26" s="128">
        <f>ROW(EtalonRes!A16)</f>
        <v>16</v>
      </c>
      <c r="E26" s="128" t="s">
        <v>96</v>
      </c>
      <c r="F26" s="128" t="s">
        <v>804</v>
      </c>
      <c r="G26" s="128" t="s">
        <v>113</v>
      </c>
      <c r="H26" s="128" t="s">
        <v>805</v>
      </c>
      <c r="I26" s="128">
        <f>ROUND((ROUND((2.8*2+1.8*2*5+1*2*9+1.1*2+2.3*2*10+2.1*2)*2/100,3)),9)</f>
        <v>1.88</v>
      </c>
      <c r="J26" s="128">
        <v>0</v>
      </c>
      <c r="K26" s="128"/>
      <c r="L26" s="128"/>
      <c r="M26" s="128"/>
      <c r="N26" s="128"/>
      <c r="O26" s="128">
        <f t="shared" si="14"/>
        <v>705</v>
      </c>
      <c r="P26" s="128">
        <f t="shared" si="15"/>
        <v>0</v>
      </c>
      <c r="Q26" s="128">
        <f t="shared" si="16"/>
        <v>56</v>
      </c>
      <c r="R26" s="128">
        <f t="shared" si="17"/>
        <v>21</v>
      </c>
      <c r="S26" s="128">
        <f t="shared" si="18"/>
        <v>649</v>
      </c>
      <c r="T26" s="128">
        <f t="shared" si="19"/>
        <v>0</v>
      </c>
      <c r="U26" s="128">
        <f t="shared" si="20"/>
        <v>86.686799999999991</v>
      </c>
      <c r="V26" s="128">
        <f t="shared" si="21"/>
        <v>1.7484</v>
      </c>
      <c r="W26" s="128">
        <f t="shared" si="22"/>
        <v>0</v>
      </c>
      <c r="X26" s="128">
        <f t="shared" si="23"/>
        <v>549</v>
      </c>
      <c r="Y26" s="128">
        <f t="shared" si="24"/>
        <v>415</v>
      </c>
      <c r="Z26" s="128"/>
      <c r="AA26" s="128">
        <v>51866573</v>
      </c>
      <c r="AB26" s="128">
        <f t="shared" si="25"/>
        <v>375.20760000000001</v>
      </c>
      <c r="AC26" s="128">
        <f t="shared" si="26"/>
        <v>0</v>
      </c>
      <c r="AD26" s="128">
        <f>ROUND((((SUM(SmtRes!BR13:BR16))-(SUM(SmtRes!BS13:BS16)))+AE26),6)</f>
        <v>29.843699999999998</v>
      </c>
      <c r="AE26" s="128">
        <f>ROUND((SUM(SmtRes!BS13:BS16)),6)</f>
        <v>11.253</v>
      </c>
      <c r="AF26" s="128">
        <f>ROUND((SUM(SmtRes!BT13:BT16)),6)</f>
        <v>345.3639</v>
      </c>
      <c r="AG26" s="128">
        <f t="shared" si="27"/>
        <v>0</v>
      </c>
      <c r="AH26" s="128">
        <f>(SUM(SmtRes!BU13:BU16))</f>
        <v>46.11</v>
      </c>
      <c r="AI26" s="128">
        <f>(SUM(SmtRes!BV13:BV16))</f>
        <v>0.93</v>
      </c>
      <c r="AJ26" s="128">
        <f t="shared" si="28"/>
        <v>0</v>
      </c>
      <c r="AK26" s="128">
        <v>375.20760000000001</v>
      </c>
      <c r="AL26" s="128">
        <v>0</v>
      </c>
      <c r="AM26" s="128">
        <v>29.843699999999998</v>
      </c>
      <c r="AN26" s="128">
        <v>11.253</v>
      </c>
      <c r="AO26" s="128">
        <v>345.3639</v>
      </c>
      <c r="AP26" s="128">
        <v>0</v>
      </c>
      <c r="AQ26" s="128">
        <v>46.11</v>
      </c>
      <c r="AR26" s="128">
        <v>0.93</v>
      </c>
      <c r="AS26" s="128">
        <v>0</v>
      </c>
      <c r="AT26" s="128">
        <v>82</v>
      </c>
      <c r="AU26" s="128">
        <v>62</v>
      </c>
      <c r="AV26" s="128">
        <v>1</v>
      </c>
      <c r="AW26" s="128">
        <v>1</v>
      </c>
      <c r="AX26" s="128"/>
      <c r="AY26" s="128"/>
      <c r="AZ26" s="128">
        <v>1</v>
      </c>
      <c r="BA26" s="128">
        <v>1</v>
      </c>
      <c r="BB26" s="128">
        <v>1</v>
      </c>
      <c r="BC26" s="128">
        <v>1</v>
      </c>
      <c r="BD26" s="128"/>
      <c r="BE26" s="128"/>
      <c r="BF26" s="128"/>
      <c r="BG26" s="128"/>
      <c r="BH26" s="128">
        <v>0</v>
      </c>
      <c r="BI26" s="128">
        <v>1</v>
      </c>
      <c r="BJ26" s="128" t="s">
        <v>806</v>
      </c>
      <c r="BK26" s="128"/>
      <c r="BL26" s="128"/>
      <c r="BM26" s="128">
        <v>56001</v>
      </c>
      <c r="BN26" s="128">
        <v>0</v>
      </c>
      <c r="BO26" s="128"/>
      <c r="BP26" s="128">
        <v>0</v>
      </c>
      <c r="BQ26" s="128">
        <v>6</v>
      </c>
      <c r="BR26" s="128">
        <v>0</v>
      </c>
      <c r="BS26" s="128">
        <v>1</v>
      </c>
      <c r="BT26" s="128">
        <v>1</v>
      </c>
      <c r="BU26" s="128">
        <v>1</v>
      </c>
      <c r="BV26" s="128">
        <v>1</v>
      </c>
      <c r="BW26" s="128">
        <v>1</v>
      </c>
      <c r="BX26" s="128">
        <v>1</v>
      </c>
      <c r="BY26" s="128"/>
      <c r="BZ26" s="128">
        <v>82</v>
      </c>
      <c r="CA26" s="128">
        <v>62</v>
      </c>
      <c r="CB26" s="128"/>
      <c r="CC26" s="128"/>
      <c r="CD26" s="128"/>
      <c r="CE26" s="128">
        <v>0</v>
      </c>
      <c r="CF26" s="128">
        <v>0</v>
      </c>
      <c r="CG26" s="128">
        <v>0</v>
      </c>
      <c r="CH26" s="128"/>
      <c r="CI26" s="128"/>
      <c r="CJ26" s="128"/>
      <c r="CK26" s="128"/>
      <c r="CL26" s="128"/>
      <c r="CM26" s="128">
        <v>0</v>
      </c>
      <c r="CN26" s="128"/>
      <c r="CO26" s="128">
        <v>0</v>
      </c>
      <c r="CP26" s="128">
        <f t="shared" si="29"/>
        <v>705</v>
      </c>
      <c r="CQ26" s="128">
        <f t="shared" si="30"/>
        <v>0</v>
      </c>
      <c r="CR26" s="128">
        <f t="shared" si="31"/>
        <v>29.843699999999998</v>
      </c>
      <c r="CS26" s="128">
        <f t="shared" si="32"/>
        <v>11.253</v>
      </c>
      <c r="CT26" s="128">
        <f t="shared" si="33"/>
        <v>345.3639</v>
      </c>
      <c r="CU26" s="128">
        <f t="shared" si="34"/>
        <v>0</v>
      </c>
      <c r="CV26" s="128">
        <f t="shared" si="35"/>
        <v>46.11</v>
      </c>
      <c r="CW26" s="128">
        <f t="shared" si="36"/>
        <v>0.93</v>
      </c>
      <c r="CX26" s="128">
        <f t="shared" si="37"/>
        <v>0</v>
      </c>
      <c r="CY26" s="128">
        <f t="shared" si="38"/>
        <v>549.4</v>
      </c>
      <c r="CZ26" s="128">
        <f t="shared" si="39"/>
        <v>415.4</v>
      </c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>
        <v>0</v>
      </c>
      <c r="DO26" s="128">
        <v>0</v>
      </c>
      <c r="DP26" s="128">
        <v>1</v>
      </c>
      <c r="DQ26" s="128">
        <v>1</v>
      </c>
      <c r="DR26" s="128"/>
      <c r="DS26" s="128"/>
      <c r="DT26" s="128"/>
      <c r="DU26" s="128">
        <v>1013</v>
      </c>
      <c r="DV26" s="128" t="s">
        <v>805</v>
      </c>
      <c r="DW26" s="128" t="s">
        <v>805</v>
      </c>
      <c r="DX26" s="128">
        <v>1</v>
      </c>
      <c r="DY26" s="128"/>
      <c r="DZ26" s="128"/>
      <c r="EA26" s="128"/>
      <c r="EB26" s="128"/>
      <c r="EC26" s="128"/>
      <c r="ED26" s="128"/>
      <c r="EE26" s="128">
        <v>49587917</v>
      </c>
      <c r="EF26" s="128">
        <v>6</v>
      </c>
      <c r="EG26" s="128" t="s">
        <v>802</v>
      </c>
      <c r="EH26" s="128">
        <v>0</v>
      </c>
      <c r="EI26" s="128"/>
      <c r="EJ26" s="128">
        <v>1</v>
      </c>
      <c r="EK26" s="128">
        <v>56001</v>
      </c>
      <c r="EL26" s="128" t="s">
        <v>5</v>
      </c>
      <c r="EM26" s="128" t="s">
        <v>803</v>
      </c>
      <c r="EN26" s="128"/>
      <c r="EO26" s="128"/>
      <c r="EP26" s="128"/>
      <c r="EQ26" s="128">
        <v>0</v>
      </c>
      <c r="ER26" s="128">
        <v>375.2</v>
      </c>
      <c r="ES26" s="128">
        <v>0</v>
      </c>
      <c r="ET26" s="128">
        <v>29.84</v>
      </c>
      <c r="EU26" s="128">
        <v>11.25</v>
      </c>
      <c r="EV26" s="128">
        <v>345.36</v>
      </c>
      <c r="EW26" s="128">
        <v>46.11</v>
      </c>
      <c r="EX26" s="128">
        <v>0.93</v>
      </c>
      <c r="EY26" s="128">
        <v>0</v>
      </c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>
        <v>0</v>
      </c>
      <c r="FR26" s="128">
        <f t="shared" si="40"/>
        <v>0</v>
      </c>
      <c r="FS26" s="128">
        <v>0</v>
      </c>
      <c r="FT26" s="128"/>
      <c r="FU26" s="128"/>
      <c r="FV26" s="128"/>
      <c r="FW26" s="128"/>
      <c r="FX26" s="128">
        <v>82</v>
      </c>
      <c r="FY26" s="128">
        <v>62</v>
      </c>
      <c r="FZ26" s="128"/>
      <c r="GA26" s="128"/>
      <c r="GB26" s="128"/>
      <c r="GC26" s="128"/>
      <c r="GD26" s="128">
        <v>1</v>
      </c>
      <c r="GE26" s="128"/>
      <c r="GF26" s="128">
        <v>1449847622</v>
      </c>
      <c r="GG26" s="128">
        <v>2</v>
      </c>
      <c r="GH26" s="128">
        <v>1</v>
      </c>
      <c r="GI26" s="128">
        <v>-2</v>
      </c>
      <c r="GJ26" s="128">
        <v>0</v>
      </c>
      <c r="GK26" s="128">
        <v>0</v>
      </c>
      <c r="GL26" s="128">
        <f t="shared" si="41"/>
        <v>0</v>
      </c>
      <c r="GM26" s="128">
        <f t="shared" si="42"/>
        <v>1669</v>
      </c>
      <c r="GN26" s="128">
        <f t="shared" si="43"/>
        <v>1669</v>
      </c>
      <c r="GO26" s="128">
        <f t="shared" si="44"/>
        <v>0</v>
      </c>
      <c r="GP26" s="128">
        <f t="shared" si="45"/>
        <v>0</v>
      </c>
      <c r="GQ26" s="128"/>
      <c r="GR26" s="128">
        <v>0</v>
      </c>
      <c r="GS26" s="128">
        <v>3</v>
      </c>
      <c r="GT26" s="128">
        <v>0</v>
      </c>
      <c r="GU26" s="128"/>
      <c r="GV26" s="128">
        <f t="shared" si="46"/>
        <v>0</v>
      </c>
      <c r="GW26" s="128">
        <v>1</v>
      </c>
      <c r="GX26" s="128">
        <f t="shared" si="47"/>
        <v>0</v>
      </c>
      <c r="GY26" s="128"/>
      <c r="GZ26" s="128"/>
      <c r="HA26" s="128">
        <v>0</v>
      </c>
      <c r="HB26" s="128">
        <v>0</v>
      </c>
      <c r="HC26" s="128">
        <f t="shared" si="48"/>
        <v>0</v>
      </c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>
        <v>0</v>
      </c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</row>
    <row r="27" spans="1:255" x14ac:dyDescent="0.2">
      <c r="A27">
        <v>17</v>
      </c>
      <c r="B27">
        <v>1</v>
      </c>
      <c r="C27">
        <f>ROW(SmtRes!A20)</f>
        <v>20</v>
      </c>
      <c r="D27">
        <f>ROW(EtalonRes!A20)</f>
        <v>20</v>
      </c>
      <c r="E27" t="s">
        <v>96</v>
      </c>
      <c r="F27" t="s">
        <v>804</v>
      </c>
      <c r="G27" t="s">
        <v>113</v>
      </c>
      <c r="H27" t="s">
        <v>805</v>
      </c>
      <c r="I27">
        <f>ROUND((ROUND((2.8*2+1.8*2*5+1*2*9+1.1*2+2.3*2*10+2.1*2)*2/100,3)),9)</f>
        <v>1.88</v>
      </c>
      <c r="J27">
        <v>0</v>
      </c>
      <c r="O27">
        <f t="shared" si="14"/>
        <v>13354</v>
      </c>
      <c r="P27">
        <f t="shared" si="15"/>
        <v>0</v>
      </c>
      <c r="Q27">
        <f t="shared" si="16"/>
        <v>540</v>
      </c>
      <c r="R27">
        <f t="shared" si="17"/>
        <v>418</v>
      </c>
      <c r="S27">
        <f t="shared" si="18"/>
        <v>12814</v>
      </c>
      <c r="T27">
        <f t="shared" si="19"/>
        <v>0</v>
      </c>
      <c r="U27">
        <f t="shared" si="20"/>
        <v>86.686799999999991</v>
      </c>
      <c r="V27">
        <f t="shared" si="21"/>
        <v>1.7484</v>
      </c>
      <c r="W27">
        <f t="shared" si="22"/>
        <v>0</v>
      </c>
      <c r="X27">
        <f t="shared" si="23"/>
        <v>10850</v>
      </c>
      <c r="Y27">
        <f t="shared" si="24"/>
        <v>8204</v>
      </c>
      <c r="AA27">
        <v>51866571</v>
      </c>
      <c r="AB27">
        <f t="shared" si="25"/>
        <v>7103.2943999999998</v>
      </c>
      <c r="AC27">
        <f t="shared" si="26"/>
        <v>0</v>
      </c>
      <c r="AD27">
        <f>ROUND((((SUM(SmtRes!BR17:BR20))-(SUM(SmtRes!BS17:BS20)))+AE27),6)</f>
        <v>287.31420000000003</v>
      </c>
      <c r="AE27">
        <f>ROUND((SUM(SmtRes!BS17:BS20)),6)</f>
        <v>222.363</v>
      </c>
      <c r="AF27">
        <f>ROUND((SUM(SmtRes!BT17:BT20)),6)</f>
        <v>6815.9802</v>
      </c>
      <c r="AG27">
        <f t="shared" si="27"/>
        <v>0</v>
      </c>
      <c r="AH27">
        <f>(SUM(SmtRes!BU17:BU20))</f>
        <v>46.11</v>
      </c>
      <c r="AI27">
        <f>(SUM(SmtRes!BV17:BV20))</f>
        <v>0.93</v>
      </c>
      <c r="AJ27">
        <f t="shared" si="28"/>
        <v>0</v>
      </c>
      <c r="AK27">
        <v>7103.2943999999998</v>
      </c>
      <c r="AL27">
        <v>0</v>
      </c>
      <c r="AM27">
        <v>287.31420000000003</v>
      </c>
      <c r="AN27">
        <v>222.363</v>
      </c>
      <c r="AO27">
        <v>6815.9802</v>
      </c>
      <c r="AP27">
        <v>0</v>
      </c>
      <c r="AQ27">
        <v>46.11</v>
      </c>
      <c r="AR27">
        <v>0.93</v>
      </c>
      <c r="AS27">
        <v>0</v>
      </c>
      <c r="AT27">
        <v>82</v>
      </c>
      <c r="AU27">
        <v>62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H27">
        <v>0</v>
      </c>
      <c r="BI27">
        <v>1</v>
      </c>
      <c r="BJ27" t="s">
        <v>806</v>
      </c>
      <c r="BM27">
        <v>56001</v>
      </c>
      <c r="BN27">
        <v>0</v>
      </c>
      <c r="BP27">
        <v>0</v>
      </c>
      <c r="BQ27">
        <v>6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Z27">
        <v>82</v>
      </c>
      <c r="CA27">
        <v>62</v>
      </c>
      <c r="CE27">
        <v>0</v>
      </c>
      <c r="CF27">
        <v>0</v>
      </c>
      <c r="CG27">
        <v>0</v>
      </c>
      <c r="CM27">
        <v>0</v>
      </c>
      <c r="CO27">
        <v>0</v>
      </c>
      <c r="CP27">
        <f t="shared" si="29"/>
        <v>13354</v>
      </c>
      <c r="CQ27">
        <f t="shared" si="30"/>
        <v>0</v>
      </c>
      <c r="CR27">
        <f t="shared" si="31"/>
        <v>287.31420000000003</v>
      </c>
      <c r="CS27">
        <f t="shared" si="32"/>
        <v>222.363</v>
      </c>
      <c r="CT27">
        <f t="shared" si="33"/>
        <v>6815.9802</v>
      </c>
      <c r="CU27">
        <f t="shared" si="34"/>
        <v>0</v>
      </c>
      <c r="CV27">
        <f t="shared" si="35"/>
        <v>46.11</v>
      </c>
      <c r="CW27">
        <f t="shared" si="36"/>
        <v>0.93</v>
      </c>
      <c r="CX27">
        <f t="shared" si="37"/>
        <v>0</v>
      </c>
      <c r="CY27">
        <f t="shared" si="38"/>
        <v>10850.24</v>
      </c>
      <c r="CZ27">
        <f t="shared" si="39"/>
        <v>8203.84</v>
      </c>
      <c r="DN27">
        <v>0</v>
      </c>
      <c r="DO27">
        <v>0</v>
      </c>
      <c r="DP27">
        <v>1</v>
      </c>
      <c r="DQ27">
        <v>1</v>
      </c>
      <c r="DU27">
        <v>1013</v>
      </c>
      <c r="DV27" t="s">
        <v>805</v>
      </c>
      <c r="DW27" t="s">
        <v>805</v>
      </c>
      <c r="DX27">
        <v>1</v>
      </c>
      <c r="EE27">
        <v>49587917</v>
      </c>
      <c r="EF27">
        <v>6</v>
      </c>
      <c r="EG27" t="s">
        <v>802</v>
      </c>
      <c r="EH27">
        <v>0</v>
      </c>
      <c r="EJ27">
        <v>1</v>
      </c>
      <c r="EK27">
        <v>56001</v>
      </c>
      <c r="EL27" t="s">
        <v>5</v>
      </c>
      <c r="EM27" t="s">
        <v>803</v>
      </c>
      <c r="EQ27">
        <v>0</v>
      </c>
      <c r="ER27">
        <v>375.2</v>
      </c>
      <c r="ES27">
        <v>0</v>
      </c>
      <c r="ET27">
        <v>29.84</v>
      </c>
      <c r="EU27">
        <v>11.25</v>
      </c>
      <c r="EV27">
        <v>345.36</v>
      </c>
      <c r="EW27">
        <v>46.11</v>
      </c>
      <c r="EX27">
        <v>0.93</v>
      </c>
      <c r="EY27">
        <v>0</v>
      </c>
      <c r="FQ27">
        <v>0</v>
      </c>
      <c r="FR27">
        <f t="shared" si="40"/>
        <v>0</v>
      </c>
      <c r="FS27">
        <v>0</v>
      </c>
      <c r="FX27">
        <v>82</v>
      </c>
      <c r="FY27">
        <v>62</v>
      </c>
      <c r="GD27">
        <v>1</v>
      </c>
      <c r="GF27">
        <v>1449847622</v>
      </c>
      <c r="GG27">
        <v>2</v>
      </c>
      <c r="GH27">
        <v>1</v>
      </c>
      <c r="GI27">
        <v>-2</v>
      </c>
      <c r="GJ27">
        <v>0</v>
      </c>
      <c r="GK27">
        <v>0</v>
      </c>
      <c r="GL27">
        <f t="shared" si="41"/>
        <v>0</v>
      </c>
      <c r="GM27">
        <f t="shared" si="42"/>
        <v>32408</v>
      </c>
      <c r="GN27">
        <f t="shared" si="43"/>
        <v>32408</v>
      </c>
      <c r="GO27">
        <f t="shared" si="44"/>
        <v>0</v>
      </c>
      <c r="GP27">
        <f t="shared" si="45"/>
        <v>0</v>
      </c>
      <c r="GR27">
        <v>0</v>
      </c>
      <c r="GS27">
        <v>3</v>
      </c>
      <c r="GT27">
        <v>0</v>
      </c>
      <c r="GV27">
        <f t="shared" si="46"/>
        <v>0</v>
      </c>
      <c r="GW27">
        <v>1</v>
      </c>
      <c r="GX27">
        <f t="shared" si="47"/>
        <v>0</v>
      </c>
      <c r="HA27">
        <v>0</v>
      </c>
      <c r="HB27">
        <v>0</v>
      </c>
      <c r="HC27">
        <f t="shared" si="48"/>
        <v>0</v>
      </c>
      <c r="IK27">
        <v>0</v>
      </c>
    </row>
    <row r="28" spans="1:255" x14ac:dyDescent="0.2">
      <c r="A28" s="128">
        <v>17</v>
      </c>
      <c r="B28" s="128">
        <v>1</v>
      </c>
      <c r="C28" s="128">
        <f>ROW(SmtRes!A25)</f>
        <v>25</v>
      </c>
      <c r="D28" s="128">
        <f>ROW(EtalonRes!A25)</f>
        <v>25</v>
      </c>
      <c r="E28" s="128" t="s">
        <v>100</v>
      </c>
      <c r="F28" s="128" t="s">
        <v>807</v>
      </c>
      <c r="G28" s="128" t="s">
        <v>808</v>
      </c>
      <c r="H28" s="128" t="s">
        <v>97</v>
      </c>
      <c r="I28" s="128">
        <f>ROUND(23.6/100,9)</f>
        <v>0.23599999999999999</v>
      </c>
      <c r="J28" s="128">
        <v>0</v>
      </c>
      <c r="K28" s="128"/>
      <c r="L28" s="128"/>
      <c r="M28" s="128"/>
      <c r="N28" s="128"/>
      <c r="O28" s="128">
        <f t="shared" si="14"/>
        <v>490</v>
      </c>
      <c r="P28" s="128">
        <f t="shared" si="15"/>
        <v>0</v>
      </c>
      <c r="Q28" s="128">
        <f t="shared" si="16"/>
        <v>23</v>
      </c>
      <c r="R28" s="128">
        <f t="shared" si="17"/>
        <v>3</v>
      </c>
      <c r="S28" s="128">
        <f t="shared" si="18"/>
        <v>467</v>
      </c>
      <c r="T28" s="128">
        <f t="shared" si="19"/>
        <v>0</v>
      </c>
      <c r="U28" s="128">
        <f t="shared" si="20"/>
        <v>65.041600000000003</v>
      </c>
      <c r="V28" s="128">
        <f t="shared" si="21"/>
        <v>0.37287999999999999</v>
      </c>
      <c r="W28" s="128">
        <f t="shared" si="22"/>
        <v>0</v>
      </c>
      <c r="X28" s="128">
        <f t="shared" si="23"/>
        <v>385</v>
      </c>
      <c r="Y28" s="128">
        <f t="shared" si="24"/>
        <v>291</v>
      </c>
      <c r="Z28" s="128"/>
      <c r="AA28" s="128">
        <v>51866573</v>
      </c>
      <c r="AB28" s="128">
        <f t="shared" si="25"/>
        <v>2077.9688000000001</v>
      </c>
      <c r="AC28" s="128">
        <f t="shared" si="26"/>
        <v>0</v>
      </c>
      <c r="AD28" s="128">
        <f>ROUND((((SUM(SmtRes!BR21:BR25))-(SUM(SmtRes!BS21:BS25)))+AE28),6)</f>
        <v>99.160799999999995</v>
      </c>
      <c r="AE28" s="128">
        <f>ROUND((SUM(SmtRes!BS21:BS25)),6)</f>
        <v>14.22</v>
      </c>
      <c r="AF28" s="128">
        <f>ROUND((SUM(SmtRes!BT21:BT25)),6)</f>
        <v>1978.808</v>
      </c>
      <c r="AG28" s="128">
        <f t="shared" si="27"/>
        <v>0</v>
      </c>
      <c r="AH28" s="128">
        <f>(SUM(SmtRes!BU21:BU25))</f>
        <v>275.60000000000002</v>
      </c>
      <c r="AI28" s="128">
        <f>(SUM(SmtRes!BV21:BV25))</f>
        <v>1.58</v>
      </c>
      <c r="AJ28" s="128">
        <f t="shared" si="28"/>
        <v>0</v>
      </c>
      <c r="AK28" s="128">
        <v>2077.9688000000001</v>
      </c>
      <c r="AL28" s="128">
        <v>0</v>
      </c>
      <c r="AM28" s="128">
        <v>99.160799999999995</v>
      </c>
      <c r="AN28" s="128">
        <v>14.22</v>
      </c>
      <c r="AO28" s="128">
        <v>1978.808</v>
      </c>
      <c r="AP28" s="128">
        <v>0</v>
      </c>
      <c r="AQ28" s="128">
        <v>275.60000000000002</v>
      </c>
      <c r="AR28" s="128">
        <v>1.58</v>
      </c>
      <c r="AS28" s="128">
        <v>0</v>
      </c>
      <c r="AT28" s="128">
        <v>82</v>
      </c>
      <c r="AU28" s="128">
        <v>62</v>
      </c>
      <c r="AV28" s="128">
        <v>1</v>
      </c>
      <c r="AW28" s="128">
        <v>1</v>
      </c>
      <c r="AX28" s="128"/>
      <c r="AY28" s="128"/>
      <c r="AZ28" s="128">
        <v>1</v>
      </c>
      <c r="BA28" s="128">
        <v>1</v>
      </c>
      <c r="BB28" s="128">
        <v>1</v>
      </c>
      <c r="BC28" s="128">
        <v>1</v>
      </c>
      <c r="BD28" s="128"/>
      <c r="BE28" s="128"/>
      <c r="BF28" s="128"/>
      <c r="BG28" s="128"/>
      <c r="BH28" s="128">
        <v>0</v>
      </c>
      <c r="BI28" s="128">
        <v>1</v>
      </c>
      <c r="BJ28" s="128" t="s">
        <v>809</v>
      </c>
      <c r="BK28" s="128"/>
      <c r="BL28" s="128"/>
      <c r="BM28" s="128">
        <v>56001</v>
      </c>
      <c r="BN28" s="128">
        <v>0</v>
      </c>
      <c r="BO28" s="128"/>
      <c r="BP28" s="128">
        <v>0</v>
      </c>
      <c r="BQ28" s="128">
        <v>6</v>
      </c>
      <c r="BR28" s="128">
        <v>0</v>
      </c>
      <c r="BS28" s="128">
        <v>1</v>
      </c>
      <c r="BT28" s="128">
        <v>1</v>
      </c>
      <c r="BU28" s="128">
        <v>1</v>
      </c>
      <c r="BV28" s="128">
        <v>1</v>
      </c>
      <c r="BW28" s="128">
        <v>1</v>
      </c>
      <c r="BX28" s="128">
        <v>1</v>
      </c>
      <c r="BY28" s="128"/>
      <c r="BZ28" s="128">
        <v>82</v>
      </c>
      <c r="CA28" s="128">
        <v>62</v>
      </c>
      <c r="CB28" s="128"/>
      <c r="CC28" s="128"/>
      <c r="CD28" s="128"/>
      <c r="CE28" s="128">
        <v>0</v>
      </c>
      <c r="CF28" s="128">
        <v>0</v>
      </c>
      <c r="CG28" s="128">
        <v>0</v>
      </c>
      <c r="CH28" s="128"/>
      <c r="CI28" s="128"/>
      <c r="CJ28" s="128"/>
      <c r="CK28" s="128"/>
      <c r="CL28" s="128"/>
      <c r="CM28" s="128">
        <v>0</v>
      </c>
      <c r="CN28" s="128"/>
      <c r="CO28" s="128">
        <v>0</v>
      </c>
      <c r="CP28" s="128">
        <f t="shared" si="29"/>
        <v>490</v>
      </c>
      <c r="CQ28" s="128">
        <f t="shared" si="30"/>
        <v>0</v>
      </c>
      <c r="CR28" s="128">
        <f t="shared" si="31"/>
        <v>99.160799999999995</v>
      </c>
      <c r="CS28" s="128">
        <f t="shared" si="32"/>
        <v>14.22</v>
      </c>
      <c r="CT28" s="128">
        <f t="shared" si="33"/>
        <v>1978.808</v>
      </c>
      <c r="CU28" s="128">
        <f t="shared" si="34"/>
        <v>0</v>
      </c>
      <c r="CV28" s="128">
        <f t="shared" si="35"/>
        <v>275.60000000000002</v>
      </c>
      <c r="CW28" s="128">
        <f t="shared" si="36"/>
        <v>1.58</v>
      </c>
      <c r="CX28" s="128">
        <f t="shared" si="37"/>
        <v>0</v>
      </c>
      <c r="CY28" s="128">
        <f t="shared" si="38"/>
        <v>385.4</v>
      </c>
      <c r="CZ28" s="128">
        <f t="shared" si="39"/>
        <v>291.39999999999998</v>
      </c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>
        <v>0</v>
      </c>
      <c r="DO28" s="128">
        <v>0</v>
      </c>
      <c r="DP28" s="128">
        <v>1</v>
      </c>
      <c r="DQ28" s="128">
        <v>1</v>
      </c>
      <c r="DR28" s="128"/>
      <c r="DS28" s="128"/>
      <c r="DT28" s="128"/>
      <c r="DU28" s="128">
        <v>1005</v>
      </c>
      <c r="DV28" s="128" t="s">
        <v>97</v>
      </c>
      <c r="DW28" s="128" t="s">
        <v>97</v>
      </c>
      <c r="DX28" s="128">
        <v>100</v>
      </c>
      <c r="DY28" s="128"/>
      <c r="DZ28" s="128"/>
      <c r="EA28" s="128"/>
      <c r="EB28" s="128"/>
      <c r="EC28" s="128"/>
      <c r="ED28" s="128"/>
      <c r="EE28" s="128">
        <v>49587917</v>
      </c>
      <c r="EF28" s="128">
        <v>6</v>
      </c>
      <c r="EG28" s="128" t="s">
        <v>802</v>
      </c>
      <c r="EH28" s="128">
        <v>0</v>
      </c>
      <c r="EI28" s="128"/>
      <c r="EJ28" s="128">
        <v>1</v>
      </c>
      <c r="EK28" s="128">
        <v>56001</v>
      </c>
      <c r="EL28" s="128" t="s">
        <v>5</v>
      </c>
      <c r="EM28" s="128" t="s">
        <v>803</v>
      </c>
      <c r="EN28" s="128"/>
      <c r="EO28" s="128"/>
      <c r="EP28" s="128"/>
      <c r="EQ28" s="128">
        <v>0</v>
      </c>
      <c r="ER28" s="128">
        <v>2077.9699999999998</v>
      </c>
      <c r="ES28" s="128">
        <v>0</v>
      </c>
      <c r="ET28" s="128">
        <v>99.16</v>
      </c>
      <c r="EU28" s="128">
        <v>14.22</v>
      </c>
      <c r="EV28" s="128">
        <v>1978.81</v>
      </c>
      <c r="EW28" s="128">
        <v>275.60000000000002</v>
      </c>
      <c r="EX28" s="128">
        <v>1.58</v>
      </c>
      <c r="EY28" s="128">
        <v>0</v>
      </c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>
        <v>0</v>
      </c>
      <c r="FR28" s="128">
        <f t="shared" si="40"/>
        <v>0</v>
      </c>
      <c r="FS28" s="128">
        <v>0</v>
      </c>
      <c r="FT28" s="128"/>
      <c r="FU28" s="128"/>
      <c r="FV28" s="128"/>
      <c r="FW28" s="128"/>
      <c r="FX28" s="128">
        <v>82</v>
      </c>
      <c r="FY28" s="128">
        <v>62</v>
      </c>
      <c r="FZ28" s="128"/>
      <c r="GA28" s="128"/>
      <c r="GB28" s="128"/>
      <c r="GC28" s="128"/>
      <c r="GD28" s="128">
        <v>1</v>
      </c>
      <c r="GE28" s="128"/>
      <c r="GF28" s="128">
        <v>1698161441</v>
      </c>
      <c r="GG28" s="128">
        <v>2</v>
      </c>
      <c r="GH28" s="128">
        <v>1</v>
      </c>
      <c r="GI28" s="128">
        <v>-2</v>
      </c>
      <c r="GJ28" s="128">
        <v>0</v>
      </c>
      <c r="GK28" s="128">
        <v>0</v>
      </c>
      <c r="GL28" s="128">
        <f t="shared" si="41"/>
        <v>0</v>
      </c>
      <c r="GM28" s="128">
        <f t="shared" si="42"/>
        <v>1166</v>
      </c>
      <c r="GN28" s="128">
        <f t="shared" si="43"/>
        <v>1166</v>
      </c>
      <c r="GO28" s="128">
        <f t="shared" si="44"/>
        <v>0</v>
      </c>
      <c r="GP28" s="128">
        <f t="shared" si="45"/>
        <v>0</v>
      </c>
      <c r="GQ28" s="128"/>
      <c r="GR28" s="128">
        <v>0</v>
      </c>
      <c r="GS28" s="128">
        <v>3</v>
      </c>
      <c r="GT28" s="128">
        <v>0</v>
      </c>
      <c r="GU28" s="128"/>
      <c r="GV28" s="128">
        <f t="shared" si="46"/>
        <v>0</v>
      </c>
      <c r="GW28" s="128">
        <v>1</v>
      </c>
      <c r="GX28" s="128">
        <f t="shared" si="47"/>
        <v>0</v>
      </c>
      <c r="GY28" s="128"/>
      <c r="GZ28" s="128"/>
      <c r="HA28" s="128">
        <v>0</v>
      </c>
      <c r="HB28" s="128">
        <v>0</v>
      </c>
      <c r="HC28" s="128">
        <f t="shared" si="48"/>
        <v>0</v>
      </c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>
        <v>0</v>
      </c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</row>
    <row r="29" spans="1:255" x14ac:dyDescent="0.2">
      <c r="A29">
        <v>17</v>
      </c>
      <c r="B29">
        <v>1</v>
      </c>
      <c r="C29">
        <f>ROW(SmtRes!A30)</f>
        <v>30</v>
      </c>
      <c r="D29">
        <f>ROW(EtalonRes!A30)</f>
        <v>30</v>
      </c>
      <c r="E29" t="s">
        <v>100</v>
      </c>
      <c r="F29" t="s">
        <v>807</v>
      </c>
      <c r="G29" t="s">
        <v>808</v>
      </c>
      <c r="H29" t="s">
        <v>97</v>
      </c>
      <c r="I29">
        <f>ROUND(23.6/100,9)</f>
        <v>0.23599999999999999</v>
      </c>
      <c r="J29">
        <v>0</v>
      </c>
      <c r="O29">
        <f t="shared" si="14"/>
        <v>9418</v>
      </c>
      <c r="P29">
        <f t="shared" si="15"/>
        <v>0</v>
      </c>
      <c r="Q29">
        <f t="shared" si="16"/>
        <v>209</v>
      </c>
      <c r="R29">
        <f t="shared" si="17"/>
        <v>66</v>
      </c>
      <c r="S29">
        <f t="shared" si="18"/>
        <v>9209</v>
      </c>
      <c r="T29">
        <f t="shared" si="19"/>
        <v>0</v>
      </c>
      <c r="U29">
        <f t="shared" si="20"/>
        <v>65.041600000000003</v>
      </c>
      <c r="V29">
        <f t="shared" si="21"/>
        <v>0.37287999999999999</v>
      </c>
      <c r="W29">
        <f t="shared" si="22"/>
        <v>0</v>
      </c>
      <c r="X29">
        <f t="shared" si="23"/>
        <v>7606</v>
      </c>
      <c r="Y29">
        <f t="shared" si="24"/>
        <v>5751</v>
      </c>
      <c r="AA29">
        <v>51866571</v>
      </c>
      <c r="AB29">
        <f t="shared" si="25"/>
        <v>39905.512000000002</v>
      </c>
      <c r="AC29">
        <f t="shared" si="26"/>
        <v>0</v>
      </c>
      <c r="AD29">
        <f>ROUND((((SUM(SmtRes!BR26:BR30))-(SUM(SmtRes!BS26:BS30)))+AE29),6)</f>
        <v>886.06399999999996</v>
      </c>
      <c r="AE29">
        <f>ROUND((SUM(SmtRes!BS26:BS30)),6)</f>
        <v>280.98719999999997</v>
      </c>
      <c r="AF29">
        <f>ROUND((SUM(SmtRes!BT26:BT30)),6)</f>
        <v>39019.447999999997</v>
      </c>
      <c r="AG29">
        <f t="shared" si="27"/>
        <v>0</v>
      </c>
      <c r="AH29">
        <f>(SUM(SmtRes!BU26:BU30))</f>
        <v>275.60000000000002</v>
      </c>
      <c r="AI29">
        <f>(SUM(SmtRes!BV26:BV30))</f>
        <v>1.58</v>
      </c>
      <c r="AJ29">
        <f t="shared" si="28"/>
        <v>0</v>
      </c>
      <c r="AK29">
        <v>39905.512000000002</v>
      </c>
      <c r="AL29">
        <v>0</v>
      </c>
      <c r="AM29">
        <v>886.06399999999996</v>
      </c>
      <c r="AN29">
        <v>280.98719999999997</v>
      </c>
      <c r="AO29">
        <v>39019.447999999997</v>
      </c>
      <c r="AP29">
        <v>0</v>
      </c>
      <c r="AQ29">
        <v>275.60000000000002</v>
      </c>
      <c r="AR29">
        <v>1.58</v>
      </c>
      <c r="AS29">
        <v>0</v>
      </c>
      <c r="AT29">
        <v>82</v>
      </c>
      <c r="AU29">
        <v>62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H29">
        <v>0</v>
      </c>
      <c r="BI29">
        <v>1</v>
      </c>
      <c r="BJ29" t="s">
        <v>809</v>
      </c>
      <c r="BM29">
        <v>56001</v>
      </c>
      <c r="BN29">
        <v>0</v>
      </c>
      <c r="BP29">
        <v>0</v>
      </c>
      <c r="BQ29">
        <v>6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Z29">
        <v>82</v>
      </c>
      <c r="CA29">
        <v>62</v>
      </c>
      <c r="CE29">
        <v>0</v>
      </c>
      <c r="CF29">
        <v>0</v>
      </c>
      <c r="CG29">
        <v>0</v>
      </c>
      <c r="CM29">
        <v>0</v>
      </c>
      <c r="CO29">
        <v>0</v>
      </c>
      <c r="CP29">
        <f t="shared" si="29"/>
        <v>9418</v>
      </c>
      <c r="CQ29">
        <f t="shared" si="30"/>
        <v>0</v>
      </c>
      <c r="CR29">
        <f t="shared" si="31"/>
        <v>886.06399999999996</v>
      </c>
      <c r="CS29">
        <f t="shared" si="32"/>
        <v>280.98719999999997</v>
      </c>
      <c r="CT29">
        <f t="shared" si="33"/>
        <v>39019.447999999997</v>
      </c>
      <c r="CU29">
        <f t="shared" si="34"/>
        <v>0</v>
      </c>
      <c r="CV29">
        <f t="shared" si="35"/>
        <v>275.60000000000002</v>
      </c>
      <c r="CW29">
        <f t="shared" si="36"/>
        <v>1.58</v>
      </c>
      <c r="CX29">
        <f t="shared" si="37"/>
        <v>0</v>
      </c>
      <c r="CY29">
        <f t="shared" si="38"/>
        <v>7605.5</v>
      </c>
      <c r="CZ29">
        <f t="shared" si="39"/>
        <v>5750.5</v>
      </c>
      <c r="DN29">
        <v>0</v>
      </c>
      <c r="DO29">
        <v>0</v>
      </c>
      <c r="DP29">
        <v>1</v>
      </c>
      <c r="DQ29">
        <v>1</v>
      </c>
      <c r="DU29">
        <v>1005</v>
      </c>
      <c r="DV29" t="s">
        <v>97</v>
      </c>
      <c r="DW29" t="s">
        <v>97</v>
      </c>
      <c r="DX29">
        <v>100</v>
      </c>
      <c r="EE29">
        <v>49587917</v>
      </c>
      <c r="EF29">
        <v>6</v>
      </c>
      <c r="EG29" t="s">
        <v>802</v>
      </c>
      <c r="EH29">
        <v>0</v>
      </c>
      <c r="EJ29">
        <v>1</v>
      </c>
      <c r="EK29">
        <v>56001</v>
      </c>
      <c r="EL29" t="s">
        <v>5</v>
      </c>
      <c r="EM29" t="s">
        <v>803</v>
      </c>
      <c r="EQ29">
        <v>0</v>
      </c>
      <c r="ER29">
        <v>2077.9699999999998</v>
      </c>
      <c r="ES29">
        <v>0</v>
      </c>
      <c r="ET29">
        <v>99.16</v>
      </c>
      <c r="EU29">
        <v>14.22</v>
      </c>
      <c r="EV29">
        <v>1978.81</v>
      </c>
      <c r="EW29">
        <v>275.60000000000002</v>
      </c>
      <c r="EX29">
        <v>1.58</v>
      </c>
      <c r="EY29">
        <v>0</v>
      </c>
      <c r="FQ29">
        <v>0</v>
      </c>
      <c r="FR29">
        <f t="shared" si="40"/>
        <v>0</v>
      </c>
      <c r="FS29">
        <v>0</v>
      </c>
      <c r="FX29">
        <v>82</v>
      </c>
      <c r="FY29">
        <v>62</v>
      </c>
      <c r="GD29">
        <v>1</v>
      </c>
      <c r="GF29">
        <v>1698161441</v>
      </c>
      <c r="GG29">
        <v>2</v>
      </c>
      <c r="GH29">
        <v>1</v>
      </c>
      <c r="GI29">
        <v>-2</v>
      </c>
      <c r="GJ29">
        <v>0</v>
      </c>
      <c r="GK29">
        <v>0</v>
      </c>
      <c r="GL29">
        <f t="shared" si="41"/>
        <v>0</v>
      </c>
      <c r="GM29">
        <f t="shared" si="42"/>
        <v>22775</v>
      </c>
      <c r="GN29">
        <f t="shared" si="43"/>
        <v>22775</v>
      </c>
      <c r="GO29">
        <f t="shared" si="44"/>
        <v>0</v>
      </c>
      <c r="GP29">
        <f t="shared" si="45"/>
        <v>0</v>
      </c>
      <c r="GR29">
        <v>0</v>
      </c>
      <c r="GS29">
        <v>3</v>
      </c>
      <c r="GT29">
        <v>0</v>
      </c>
      <c r="GV29">
        <f t="shared" si="46"/>
        <v>0</v>
      </c>
      <c r="GW29">
        <v>1</v>
      </c>
      <c r="GX29">
        <f t="shared" si="47"/>
        <v>0</v>
      </c>
      <c r="HA29">
        <v>0</v>
      </c>
      <c r="HB29">
        <v>0</v>
      </c>
      <c r="HC29">
        <f t="shared" si="48"/>
        <v>0</v>
      </c>
      <c r="IK29">
        <v>0</v>
      </c>
    </row>
    <row r="30" spans="1:255" x14ac:dyDescent="0.2">
      <c r="A30" s="128">
        <v>17</v>
      </c>
      <c r="B30" s="128">
        <v>1</v>
      </c>
      <c r="C30" s="128">
        <f>ROW(SmtRes!A33)</f>
        <v>33</v>
      </c>
      <c r="D30" s="128">
        <f>ROW(EtalonRes!A33)</f>
        <v>33</v>
      </c>
      <c r="E30" s="128" t="s">
        <v>105</v>
      </c>
      <c r="F30" s="128" t="s">
        <v>810</v>
      </c>
      <c r="G30" s="128" t="s">
        <v>811</v>
      </c>
      <c r="H30" s="128" t="s">
        <v>812</v>
      </c>
      <c r="I30" s="128">
        <f>ROUND(52.4/100,9)</f>
        <v>0.52400000000000002</v>
      </c>
      <c r="J30" s="128">
        <v>0</v>
      </c>
      <c r="K30" s="128"/>
      <c r="L30" s="128"/>
      <c r="M30" s="128"/>
      <c r="N30" s="128"/>
      <c r="O30" s="128">
        <f t="shared" si="14"/>
        <v>35</v>
      </c>
      <c r="P30" s="128">
        <f t="shared" si="15"/>
        <v>0</v>
      </c>
      <c r="Q30" s="128">
        <f t="shared" si="16"/>
        <v>0</v>
      </c>
      <c r="R30" s="128">
        <f t="shared" si="17"/>
        <v>0</v>
      </c>
      <c r="S30" s="128">
        <f t="shared" si="18"/>
        <v>35</v>
      </c>
      <c r="T30" s="128">
        <f t="shared" si="19"/>
        <v>0</v>
      </c>
      <c r="U30" s="128">
        <f t="shared" si="20"/>
        <v>4.7683999999999997</v>
      </c>
      <c r="V30" s="128">
        <f t="shared" si="21"/>
        <v>0</v>
      </c>
      <c r="W30" s="128">
        <f t="shared" si="22"/>
        <v>0</v>
      </c>
      <c r="X30" s="128">
        <f t="shared" si="23"/>
        <v>29</v>
      </c>
      <c r="Y30" s="128">
        <f t="shared" si="24"/>
        <v>23</v>
      </c>
      <c r="Z30" s="128"/>
      <c r="AA30" s="128">
        <v>51866573</v>
      </c>
      <c r="AB30" s="128">
        <f t="shared" si="25"/>
        <v>66.561000000000007</v>
      </c>
      <c r="AC30" s="128">
        <f t="shared" si="26"/>
        <v>0</v>
      </c>
      <c r="AD30" s="128">
        <f>ROUND((((SUM(SmtRes!BR31:BR33))-(0))+AE30),6)</f>
        <v>0.222</v>
      </c>
      <c r="AE30" s="128">
        <f>ROUND((0),6)</f>
        <v>0</v>
      </c>
      <c r="AF30" s="128">
        <f>ROUND((SUM(SmtRes!BT31:BT33)),6)</f>
        <v>66.338999999999999</v>
      </c>
      <c r="AG30" s="128">
        <f t="shared" si="27"/>
        <v>0</v>
      </c>
      <c r="AH30" s="128">
        <f>(SUM(SmtRes!BU31:BU33))</f>
        <v>9.1</v>
      </c>
      <c r="AI30" s="128">
        <f>(0)</f>
        <v>0</v>
      </c>
      <c r="AJ30" s="128">
        <f t="shared" si="28"/>
        <v>0</v>
      </c>
      <c r="AK30" s="128">
        <v>66.561000000000007</v>
      </c>
      <c r="AL30" s="128">
        <v>0</v>
      </c>
      <c r="AM30" s="128">
        <v>0.222</v>
      </c>
      <c r="AN30" s="128">
        <v>0</v>
      </c>
      <c r="AO30" s="128">
        <v>66.338999999999999</v>
      </c>
      <c r="AP30" s="128">
        <v>0</v>
      </c>
      <c r="AQ30" s="128">
        <v>9.1</v>
      </c>
      <c r="AR30" s="128">
        <v>0</v>
      </c>
      <c r="AS30" s="128">
        <v>0</v>
      </c>
      <c r="AT30" s="128">
        <v>83</v>
      </c>
      <c r="AU30" s="128">
        <v>65</v>
      </c>
      <c r="AV30" s="128">
        <v>1</v>
      </c>
      <c r="AW30" s="128">
        <v>1</v>
      </c>
      <c r="AX30" s="128"/>
      <c r="AY30" s="128"/>
      <c r="AZ30" s="128">
        <v>1</v>
      </c>
      <c r="BA30" s="128">
        <v>1</v>
      </c>
      <c r="BB30" s="128">
        <v>1</v>
      </c>
      <c r="BC30" s="128">
        <v>1</v>
      </c>
      <c r="BD30" s="128"/>
      <c r="BE30" s="128"/>
      <c r="BF30" s="128"/>
      <c r="BG30" s="128"/>
      <c r="BH30" s="128">
        <v>0</v>
      </c>
      <c r="BI30" s="128">
        <v>1</v>
      </c>
      <c r="BJ30" s="128" t="s">
        <v>813</v>
      </c>
      <c r="BK30" s="128"/>
      <c r="BL30" s="128"/>
      <c r="BM30" s="128">
        <v>58001</v>
      </c>
      <c r="BN30" s="128">
        <v>0</v>
      </c>
      <c r="BO30" s="128"/>
      <c r="BP30" s="128">
        <v>0</v>
      </c>
      <c r="BQ30" s="128">
        <v>6</v>
      </c>
      <c r="BR30" s="128">
        <v>0</v>
      </c>
      <c r="BS30" s="128">
        <v>1</v>
      </c>
      <c r="BT30" s="128">
        <v>1</v>
      </c>
      <c r="BU30" s="128">
        <v>1</v>
      </c>
      <c r="BV30" s="128">
        <v>1</v>
      </c>
      <c r="BW30" s="128">
        <v>1</v>
      </c>
      <c r="BX30" s="128">
        <v>1</v>
      </c>
      <c r="BY30" s="128"/>
      <c r="BZ30" s="128">
        <v>83</v>
      </c>
      <c r="CA30" s="128">
        <v>65</v>
      </c>
      <c r="CB30" s="128"/>
      <c r="CC30" s="128"/>
      <c r="CD30" s="128"/>
      <c r="CE30" s="128">
        <v>0</v>
      </c>
      <c r="CF30" s="128">
        <v>0</v>
      </c>
      <c r="CG30" s="128">
        <v>0</v>
      </c>
      <c r="CH30" s="128"/>
      <c r="CI30" s="128"/>
      <c r="CJ30" s="128"/>
      <c r="CK30" s="128"/>
      <c r="CL30" s="128"/>
      <c r="CM30" s="128">
        <v>0</v>
      </c>
      <c r="CN30" s="128"/>
      <c r="CO30" s="128">
        <v>0</v>
      </c>
      <c r="CP30" s="128">
        <f t="shared" si="29"/>
        <v>35</v>
      </c>
      <c r="CQ30" s="128">
        <f t="shared" si="30"/>
        <v>0</v>
      </c>
      <c r="CR30" s="128">
        <f t="shared" si="31"/>
        <v>0.222</v>
      </c>
      <c r="CS30" s="128">
        <f t="shared" si="32"/>
        <v>0</v>
      </c>
      <c r="CT30" s="128">
        <f t="shared" si="33"/>
        <v>66.338999999999999</v>
      </c>
      <c r="CU30" s="128">
        <f t="shared" si="34"/>
        <v>0</v>
      </c>
      <c r="CV30" s="128">
        <f t="shared" si="35"/>
        <v>9.1</v>
      </c>
      <c r="CW30" s="128">
        <f t="shared" si="36"/>
        <v>0</v>
      </c>
      <c r="CX30" s="128">
        <f t="shared" si="37"/>
        <v>0</v>
      </c>
      <c r="CY30" s="128">
        <f t="shared" si="38"/>
        <v>29.05</v>
      </c>
      <c r="CZ30" s="128">
        <f t="shared" si="39"/>
        <v>22.75</v>
      </c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>
        <v>0</v>
      </c>
      <c r="DO30" s="128">
        <v>0</v>
      </c>
      <c r="DP30" s="128">
        <v>1</v>
      </c>
      <c r="DQ30" s="128">
        <v>1</v>
      </c>
      <c r="DR30" s="128"/>
      <c r="DS30" s="128"/>
      <c r="DT30" s="128"/>
      <c r="DU30" s="128">
        <v>1013</v>
      </c>
      <c r="DV30" s="128" t="s">
        <v>812</v>
      </c>
      <c r="DW30" s="128" t="s">
        <v>812</v>
      </c>
      <c r="DX30" s="128">
        <v>1</v>
      </c>
      <c r="DY30" s="128"/>
      <c r="DZ30" s="128"/>
      <c r="EA30" s="128"/>
      <c r="EB30" s="128"/>
      <c r="EC30" s="128"/>
      <c r="ED30" s="128"/>
      <c r="EE30" s="128">
        <v>49587919</v>
      </c>
      <c r="EF30" s="128">
        <v>6</v>
      </c>
      <c r="EG30" s="128" t="s">
        <v>802</v>
      </c>
      <c r="EH30" s="128">
        <v>0</v>
      </c>
      <c r="EI30" s="128"/>
      <c r="EJ30" s="128">
        <v>1</v>
      </c>
      <c r="EK30" s="128">
        <v>58001</v>
      </c>
      <c r="EL30" s="128" t="s">
        <v>6</v>
      </c>
      <c r="EM30" s="128" t="s">
        <v>814</v>
      </c>
      <c r="EN30" s="128"/>
      <c r="EO30" s="128"/>
      <c r="EP30" s="128"/>
      <c r="EQ30" s="128">
        <v>0</v>
      </c>
      <c r="ER30" s="128">
        <v>66.56</v>
      </c>
      <c r="ES30" s="128">
        <v>0</v>
      </c>
      <c r="ET30" s="128">
        <v>0.22</v>
      </c>
      <c r="EU30" s="128">
        <v>0</v>
      </c>
      <c r="EV30" s="128">
        <v>66.34</v>
      </c>
      <c r="EW30" s="128">
        <v>9.1</v>
      </c>
      <c r="EX30" s="128">
        <v>0</v>
      </c>
      <c r="EY30" s="128">
        <v>0</v>
      </c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>
        <v>0</v>
      </c>
      <c r="FR30" s="128">
        <f t="shared" si="40"/>
        <v>0</v>
      </c>
      <c r="FS30" s="128">
        <v>0</v>
      </c>
      <c r="FT30" s="128"/>
      <c r="FU30" s="128"/>
      <c r="FV30" s="128"/>
      <c r="FW30" s="128"/>
      <c r="FX30" s="128">
        <v>83</v>
      </c>
      <c r="FY30" s="128">
        <v>65</v>
      </c>
      <c r="FZ30" s="128"/>
      <c r="GA30" s="128"/>
      <c r="GB30" s="128"/>
      <c r="GC30" s="128"/>
      <c r="GD30" s="128">
        <v>1</v>
      </c>
      <c r="GE30" s="128"/>
      <c r="GF30" s="128">
        <v>1541724747</v>
      </c>
      <c r="GG30" s="128">
        <v>2</v>
      </c>
      <c r="GH30" s="128">
        <v>1</v>
      </c>
      <c r="GI30" s="128">
        <v>-2</v>
      </c>
      <c r="GJ30" s="128">
        <v>0</v>
      </c>
      <c r="GK30" s="128">
        <v>0</v>
      </c>
      <c r="GL30" s="128">
        <f t="shared" si="41"/>
        <v>0</v>
      </c>
      <c r="GM30" s="128">
        <f t="shared" si="42"/>
        <v>87</v>
      </c>
      <c r="GN30" s="128">
        <f t="shared" si="43"/>
        <v>87</v>
      </c>
      <c r="GO30" s="128">
        <f t="shared" si="44"/>
        <v>0</v>
      </c>
      <c r="GP30" s="128">
        <f t="shared" si="45"/>
        <v>0</v>
      </c>
      <c r="GQ30" s="128"/>
      <c r="GR30" s="128">
        <v>0</v>
      </c>
      <c r="GS30" s="128">
        <v>3</v>
      </c>
      <c r="GT30" s="128">
        <v>0</v>
      </c>
      <c r="GU30" s="128"/>
      <c r="GV30" s="128">
        <f t="shared" si="46"/>
        <v>0</v>
      </c>
      <c r="GW30" s="128">
        <v>1</v>
      </c>
      <c r="GX30" s="128">
        <f t="shared" si="47"/>
        <v>0</v>
      </c>
      <c r="GY30" s="128"/>
      <c r="GZ30" s="128"/>
      <c r="HA30" s="128">
        <v>0</v>
      </c>
      <c r="HB30" s="128">
        <v>0</v>
      </c>
      <c r="HC30" s="128">
        <f t="shared" si="48"/>
        <v>0</v>
      </c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>
        <v>0</v>
      </c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</row>
    <row r="31" spans="1:255" x14ac:dyDescent="0.2">
      <c r="A31">
        <v>17</v>
      </c>
      <c r="B31">
        <v>1</v>
      </c>
      <c r="C31">
        <f>ROW(SmtRes!A36)</f>
        <v>36</v>
      </c>
      <c r="D31">
        <f>ROW(EtalonRes!A36)</f>
        <v>36</v>
      </c>
      <c r="E31" t="s">
        <v>105</v>
      </c>
      <c r="F31" t="s">
        <v>810</v>
      </c>
      <c r="G31" t="s">
        <v>811</v>
      </c>
      <c r="H31" t="s">
        <v>812</v>
      </c>
      <c r="I31">
        <f>ROUND(52.4/100,9)</f>
        <v>0.52400000000000002</v>
      </c>
      <c r="J31">
        <v>0</v>
      </c>
      <c r="O31">
        <f t="shared" si="14"/>
        <v>686</v>
      </c>
      <c r="P31">
        <f t="shared" si="15"/>
        <v>0</v>
      </c>
      <c r="Q31">
        <f t="shared" si="16"/>
        <v>0</v>
      </c>
      <c r="R31">
        <f t="shared" si="17"/>
        <v>0</v>
      </c>
      <c r="S31">
        <f t="shared" si="18"/>
        <v>686</v>
      </c>
      <c r="T31">
        <f t="shared" si="19"/>
        <v>0</v>
      </c>
      <c r="U31">
        <f t="shared" si="20"/>
        <v>4.7683999999999997</v>
      </c>
      <c r="V31">
        <f t="shared" si="21"/>
        <v>0</v>
      </c>
      <c r="W31">
        <f t="shared" si="22"/>
        <v>0</v>
      </c>
      <c r="X31">
        <f t="shared" si="23"/>
        <v>569</v>
      </c>
      <c r="Y31">
        <f t="shared" si="24"/>
        <v>446</v>
      </c>
      <c r="AA31">
        <v>51866571</v>
      </c>
      <c r="AB31">
        <f t="shared" si="25"/>
        <v>1309.8499999999999</v>
      </c>
      <c r="AC31">
        <f t="shared" si="26"/>
        <v>0</v>
      </c>
      <c r="AD31">
        <f>ROUND((((SUM(SmtRes!BR34:BR36))-(0))+AE31),6)</f>
        <v>0.90600000000000003</v>
      </c>
      <c r="AE31">
        <f>ROUND((0),6)</f>
        <v>0</v>
      </c>
      <c r="AF31">
        <f>ROUND((SUM(SmtRes!BT34:BT36)),6)</f>
        <v>1308.944</v>
      </c>
      <c r="AG31">
        <f t="shared" si="27"/>
        <v>0</v>
      </c>
      <c r="AH31">
        <f>(SUM(SmtRes!BU34:BU36))</f>
        <v>9.1</v>
      </c>
      <c r="AI31">
        <f>(0)</f>
        <v>0</v>
      </c>
      <c r="AJ31">
        <f t="shared" si="28"/>
        <v>0</v>
      </c>
      <c r="AK31">
        <v>1309.8499999999999</v>
      </c>
      <c r="AL31">
        <v>0</v>
      </c>
      <c r="AM31">
        <v>0.90600000000000003</v>
      </c>
      <c r="AN31">
        <v>0</v>
      </c>
      <c r="AO31">
        <v>1308.944</v>
      </c>
      <c r="AP31">
        <v>0</v>
      </c>
      <c r="AQ31">
        <v>9.1</v>
      </c>
      <c r="AR31">
        <v>0</v>
      </c>
      <c r="AS31">
        <v>0</v>
      </c>
      <c r="AT31">
        <v>83</v>
      </c>
      <c r="AU31">
        <v>65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H31">
        <v>0</v>
      </c>
      <c r="BI31">
        <v>1</v>
      </c>
      <c r="BJ31" t="s">
        <v>813</v>
      </c>
      <c r="BM31">
        <v>58001</v>
      </c>
      <c r="BN31">
        <v>0</v>
      </c>
      <c r="BP31">
        <v>0</v>
      </c>
      <c r="BQ31">
        <v>6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Z31">
        <v>83</v>
      </c>
      <c r="CA31">
        <v>65</v>
      </c>
      <c r="CE31">
        <v>0</v>
      </c>
      <c r="CF31">
        <v>0</v>
      </c>
      <c r="CG31">
        <v>0</v>
      </c>
      <c r="CM31">
        <v>0</v>
      </c>
      <c r="CO31">
        <v>0</v>
      </c>
      <c r="CP31">
        <f t="shared" si="29"/>
        <v>686</v>
      </c>
      <c r="CQ31">
        <f t="shared" si="30"/>
        <v>0</v>
      </c>
      <c r="CR31">
        <f t="shared" si="31"/>
        <v>0.90600000000000003</v>
      </c>
      <c r="CS31">
        <f t="shared" si="32"/>
        <v>0</v>
      </c>
      <c r="CT31">
        <f t="shared" si="33"/>
        <v>1308.944</v>
      </c>
      <c r="CU31">
        <f t="shared" si="34"/>
        <v>0</v>
      </c>
      <c r="CV31">
        <f t="shared" si="35"/>
        <v>9.1</v>
      </c>
      <c r="CW31">
        <f t="shared" si="36"/>
        <v>0</v>
      </c>
      <c r="CX31">
        <f t="shared" si="37"/>
        <v>0</v>
      </c>
      <c r="CY31">
        <f t="shared" si="38"/>
        <v>569.38</v>
      </c>
      <c r="CZ31">
        <f t="shared" si="39"/>
        <v>445.9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812</v>
      </c>
      <c r="DW31" t="s">
        <v>812</v>
      </c>
      <c r="DX31">
        <v>1</v>
      </c>
      <c r="EE31">
        <v>49587919</v>
      </c>
      <c r="EF31">
        <v>6</v>
      </c>
      <c r="EG31" t="s">
        <v>802</v>
      </c>
      <c r="EH31">
        <v>0</v>
      </c>
      <c r="EJ31">
        <v>1</v>
      </c>
      <c r="EK31">
        <v>58001</v>
      </c>
      <c r="EL31" t="s">
        <v>6</v>
      </c>
      <c r="EM31" t="s">
        <v>814</v>
      </c>
      <c r="EQ31">
        <v>0</v>
      </c>
      <c r="ER31">
        <v>66.56</v>
      </c>
      <c r="ES31">
        <v>0</v>
      </c>
      <c r="ET31">
        <v>0.22</v>
      </c>
      <c r="EU31">
        <v>0</v>
      </c>
      <c r="EV31">
        <v>66.34</v>
      </c>
      <c r="EW31">
        <v>9.1</v>
      </c>
      <c r="EX31">
        <v>0</v>
      </c>
      <c r="EY31">
        <v>0</v>
      </c>
      <c r="FQ31">
        <v>0</v>
      </c>
      <c r="FR31">
        <f t="shared" si="40"/>
        <v>0</v>
      </c>
      <c r="FS31">
        <v>0</v>
      </c>
      <c r="FX31">
        <v>83</v>
      </c>
      <c r="FY31">
        <v>65</v>
      </c>
      <c r="GD31">
        <v>1</v>
      </c>
      <c r="GF31">
        <v>1541724747</v>
      </c>
      <c r="GG31">
        <v>2</v>
      </c>
      <c r="GH31">
        <v>1</v>
      </c>
      <c r="GI31">
        <v>-2</v>
      </c>
      <c r="GJ31">
        <v>0</v>
      </c>
      <c r="GK31">
        <v>0</v>
      </c>
      <c r="GL31">
        <f t="shared" si="41"/>
        <v>0</v>
      </c>
      <c r="GM31">
        <f t="shared" si="42"/>
        <v>1701</v>
      </c>
      <c r="GN31">
        <f t="shared" si="43"/>
        <v>1701</v>
      </c>
      <c r="GO31">
        <f t="shared" si="44"/>
        <v>0</v>
      </c>
      <c r="GP31">
        <f t="shared" si="45"/>
        <v>0</v>
      </c>
      <c r="GR31">
        <v>0</v>
      </c>
      <c r="GS31">
        <v>3</v>
      </c>
      <c r="GT31">
        <v>0</v>
      </c>
      <c r="GV31">
        <f t="shared" si="46"/>
        <v>0</v>
      </c>
      <c r="GW31">
        <v>1</v>
      </c>
      <c r="GX31">
        <f t="shared" si="47"/>
        <v>0</v>
      </c>
      <c r="HA31">
        <v>0</v>
      </c>
      <c r="HB31">
        <v>0</v>
      </c>
      <c r="HC31">
        <f t="shared" si="48"/>
        <v>0</v>
      </c>
      <c r="IK31">
        <v>0</v>
      </c>
    </row>
    <row r="32" spans="1:255" x14ac:dyDescent="0.2">
      <c r="A32" s="128">
        <v>17</v>
      </c>
      <c r="B32" s="128">
        <v>1</v>
      </c>
      <c r="C32" s="128">
        <f>ROW(SmtRes!A48)</f>
        <v>48</v>
      </c>
      <c r="D32" s="128">
        <f>ROW(EtalonRes!A49)</f>
        <v>49</v>
      </c>
      <c r="E32" s="128" t="s">
        <v>106</v>
      </c>
      <c r="F32" s="128" t="s">
        <v>815</v>
      </c>
      <c r="G32" s="128" t="s">
        <v>816</v>
      </c>
      <c r="H32" s="128" t="s">
        <v>817</v>
      </c>
      <c r="I32" s="128">
        <f>ROUND((ROUND((2.1*2.9+2.1*1.9*5+2.1*1.1*9+2.1*1.2+2.1*2.4*10+2.1*2.2)/100,4)),9)</f>
        <v>1.0437000000000001</v>
      </c>
      <c r="J32" s="128">
        <v>0</v>
      </c>
      <c r="K32" s="128"/>
      <c r="L32" s="128"/>
      <c r="M32" s="128"/>
      <c r="N32" s="128"/>
      <c r="O32" s="128">
        <f t="shared" si="14"/>
        <v>59958</v>
      </c>
      <c r="P32" s="128">
        <f t="shared" si="15"/>
        <v>28240</v>
      </c>
      <c r="Q32" s="128">
        <f t="shared" si="16"/>
        <v>4249</v>
      </c>
      <c r="R32" s="128">
        <f t="shared" si="17"/>
        <v>198</v>
      </c>
      <c r="S32" s="128">
        <f t="shared" si="18"/>
        <v>27469</v>
      </c>
      <c r="T32" s="128">
        <f t="shared" si="19"/>
        <v>0</v>
      </c>
      <c r="U32" s="128">
        <f t="shared" si="20"/>
        <v>179.03003580000001</v>
      </c>
      <c r="V32" s="128">
        <f t="shared" si="21"/>
        <v>0.8610525</v>
      </c>
      <c r="W32" s="128">
        <f t="shared" si="22"/>
        <v>0</v>
      </c>
      <c r="X32" s="128">
        <f t="shared" si="23"/>
        <v>29327</v>
      </c>
      <c r="Y32" s="128">
        <f t="shared" si="24"/>
        <v>14940</v>
      </c>
      <c r="Z32" s="128"/>
      <c r="AA32" s="128">
        <v>51866573</v>
      </c>
      <c r="AB32" s="128">
        <f t="shared" si="25"/>
        <v>57447.458245000002</v>
      </c>
      <c r="AC32" s="128">
        <f>ROUND((SUM(SmtRes!BQ37:BQ48)),6)</f>
        <v>27057.486000000001</v>
      </c>
      <c r="AD32" s="128">
        <f>ROUND((((SUM(SmtRes!BR37:BR48))-(SUM(SmtRes!BS37:BS48)))+AE32),6)</f>
        <v>4071.5106249999999</v>
      </c>
      <c r="AE32" s="128">
        <f>ROUND((SUM(SmtRes!BS37:BS48)),6)</f>
        <v>189.37049999999999</v>
      </c>
      <c r="AF32" s="128">
        <f>ROUND((SUM(SmtRes!BT37:BT48)),6)</f>
        <v>26318.461619999998</v>
      </c>
      <c r="AG32" s="128">
        <f t="shared" si="27"/>
        <v>0</v>
      </c>
      <c r="AH32" s="128">
        <f>(SUM(SmtRes!BU37:BU48))</f>
        <v>171.53399999999999</v>
      </c>
      <c r="AI32" s="128">
        <f>(SUM(SmtRes!BV37:BV48))</f>
        <v>0.82499999999999996</v>
      </c>
      <c r="AJ32" s="128">
        <f t="shared" si="28"/>
        <v>0</v>
      </c>
      <c r="AK32" s="128">
        <v>53200.313300000002</v>
      </c>
      <c r="AL32" s="128">
        <v>27057.486000000001</v>
      </c>
      <c r="AM32" s="128">
        <v>3257.2085000000002</v>
      </c>
      <c r="AN32" s="128">
        <v>151.49639999999999</v>
      </c>
      <c r="AO32" s="128">
        <v>22885.6188</v>
      </c>
      <c r="AP32" s="128">
        <v>0</v>
      </c>
      <c r="AQ32" s="128">
        <v>149.16</v>
      </c>
      <c r="AR32" s="128">
        <v>0.66</v>
      </c>
      <c r="AS32" s="128">
        <v>0</v>
      </c>
      <c r="AT32" s="128">
        <v>106</v>
      </c>
      <c r="AU32" s="128">
        <v>54</v>
      </c>
      <c r="AV32" s="128">
        <v>1</v>
      </c>
      <c r="AW32" s="128">
        <v>1</v>
      </c>
      <c r="AX32" s="128"/>
      <c r="AY32" s="128"/>
      <c r="AZ32" s="128">
        <v>1</v>
      </c>
      <c r="BA32" s="128">
        <v>1</v>
      </c>
      <c r="BB32" s="128">
        <v>1</v>
      </c>
      <c r="BC32" s="128">
        <v>1</v>
      </c>
      <c r="BD32" s="128"/>
      <c r="BE32" s="128"/>
      <c r="BF32" s="128"/>
      <c r="BG32" s="128"/>
      <c r="BH32" s="128">
        <v>0</v>
      </c>
      <c r="BI32" s="128">
        <v>1</v>
      </c>
      <c r="BJ32" s="128" t="s">
        <v>818</v>
      </c>
      <c r="BK32" s="128"/>
      <c r="BL32" s="128"/>
      <c r="BM32" s="128">
        <v>10001</v>
      </c>
      <c r="BN32" s="128">
        <v>0</v>
      </c>
      <c r="BO32" s="128"/>
      <c r="BP32" s="128">
        <v>0</v>
      </c>
      <c r="BQ32" s="128">
        <v>2</v>
      </c>
      <c r="BR32" s="128">
        <v>0</v>
      </c>
      <c r="BS32" s="128">
        <v>1</v>
      </c>
      <c r="BT32" s="128">
        <v>1</v>
      </c>
      <c r="BU32" s="128">
        <v>1</v>
      </c>
      <c r="BV32" s="128">
        <v>1</v>
      </c>
      <c r="BW32" s="128">
        <v>1</v>
      </c>
      <c r="BX32" s="128">
        <v>1</v>
      </c>
      <c r="BY32" s="128"/>
      <c r="BZ32" s="128">
        <v>118</v>
      </c>
      <c r="CA32" s="128">
        <v>63</v>
      </c>
      <c r="CB32" s="128"/>
      <c r="CC32" s="128"/>
      <c r="CD32" s="128"/>
      <c r="CE32" s="128">
        <v>0</v>
      </c>
      <c r="CF32" s="128">
        <v>0</v>
      </c>
      <c r="CG32" s="128">
        <v>0</v>
      </c>
      <c r="CH32" s="128"/>
      <c r="CI32" s="128"/>
      <c r="CJ32" s="128"/>
      <c r="CK32" s="128"/>
      <c r="CL32" s="128"/>
      <c r="CM32" s="128">
        <v>0</v>
      </c>
      <c r="CN32" s="128" t="s">
        <v>819</v>
      </c>
      <c r="CO32" s="128">
        <v>0</v>
      </c>
      <c r="CP32" s="128">
        <f t="shared" si="29"/>
        <v>59958</v>
      </c>
      <c r="CQ32" s="128">
        <f t="shared" si="30"/>
        <v>27057.486000000001</v>
      </c>
      <c r="CR32" s="128">
        <f t="shared" si="31"/>
        <v>4071.5106249999999</v>
      </c>
      <c r="CS32" s="128">
        <f t="shared" si="32"/>
        <v>189.37049999999999</v>
      </c>
      <c r="CT32" s="128">
        <f t="shared" si="33"/>
        <v>26318.461619999998</v>
      </c>
      <c r="CU32" s="128">
        <f t="shared" si="34"/>
        <v>0</v>
      </c>
      <c r="CV32" s="128">
        <f t="shared" si="35"/>
        <v>171.53399999999999</v>
      </c>
      <c r="CW32" s="128">
        <f t="shared" si="36"/>
        <v>0.82499999999999996</v>
      </c>
      <c r="CX32" s="128">
        <f t="shared" si="37"/>
        <v>0</v>
      </c>
      <c r="CY32" s="128">
        <f t="shared" si="38"/>
        <v>29327.02</v>
      </c>
      <c r="CZ32" s="128">
        <f t="shared" si="39"/>
        <v>14940.18</v>
      </c>
      <c r="DA32" s="128"/>
      <c r="DB32" s="128"/>
      <c r="DC32" s="128"/>
      <c r="DD32" s="128"/>
      <c r="DE32" s="128" t="s">
        <v>820</v>
      </c>
      <c r="DF32" s="128" t="s">
        <v>820</v>
      </c>
      <c r="DG32" s="128" t="s">
        <v>821</v>
      </c>
      <c r="DH32" s="128"/>
      <c r="DI32" s="128" t="s">
        <v>821</v>
      </c>
      <c r="DJ32" s="128" t="s">
        <v>820</v>
      </c>
      <c r="DK32" s="128"/>
      <c r="DL32" s="128"/>
      <c r="DM32" s="128"/>
      <c r="DN32" s="128">
        <v>0</v>
      </c>
      <c r="DO32" s="128">
        <v>0</v>
      </c>
      <c r="DP32" s="128">
        <v>1</v>
      </c>
      <c r="DQ32" s="128">
        <v>1</v>
      </c>
      <c r="DR32" s="128"/>
      <c r="DS32" s="128"/>
      <c r="DT32" s="128"/>
      <c r="DU32" s="128">
        <v>1013</v>
      </c>
      <c r="DV32" s="128" t="s">
        <v>817</v>
      </c>
      <c r="DW32" s="128" t="s">
        <v>817</v>
      </c>
      <c r="DX32" s="128">
        <v>1</v>
      </c>
      <c r="DY32" s="128"/>
      <c r="DZ32" s="128"/>
      <c r="EA32" s="128"/>
      <c r="EB32" s="128"/>
      <c r="EC32" s="128"/>
      <c r="ED32" s="128"/>
      <c r="EE32" s="128">
        <v>49587839</v>
      </c>
      <c r="EF32" s="128">
        <v>2</v>
      </c>
      <c r="EG32" s="128" t="s">
        <v>709</v>
      </c>
      <c r="EH32" s="128">
        <v>0</v>
      </c>
      <c r="EI32" s="128"/>
      <c r="EJ32" s="128">
        <v>1</v>
      </c>
      <c r="EK32" s="128">
        <v>10001</v>
      </c>
      <c r="EL32" s="128" t="s">
        <v>0</v>
      </c>
      <c r="EM32" s="128" t="s">
        <v>822</v>
      </c>
      <c r="EN32" s="128"/>
      <c r="EO32" s="128" t="s">
        <v>823</v>
      </c>
      <c r="EP32" s="128"/>
      <c r="EQ32" s="128">
        <v>0</v>
      </c>
      <c r="ER32" s="128">
        <v>217615.05</v>
      </c>
      <c r="ES32" s="128">
        <v>215975.3</v>
      </c>
      <c r="ET32" s="128">
        <v>421.11</v>
      </c>
      <c r="EU32" s="128">
        <v>7.99</v>
      </c>
      <c r="EV32" s="128">
        <v>1218.6400000000001</v>
      </c>
      <c r="EW32" s="128">
        <v>149.16</v>
      </c>
      <c r="EX32" s="128">
        <v>0.66</v>
      </c>
      <c r="EY32" s="128">
        <v>0</v>
      </c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>
        <v>0</v>
      </c>
      <c r="FR32" s="128">
        <f t="shared" si="40"/>
        <v>0</v>
      </c>
      <c r="FS32" s="128">
        <v>0</v>
      </c>
      <c r="FT32" s="128" t="s">
        <v>1</v>
      </c>
      <c r="FU32" s="128" t="s">
        <v>2</v>
      </c>
      <c r="FV32" s="128"/>
      <c r="FW32" s="128"/>
      <c r="FX32" s="128">
        <v>106.2</v>
      </c>
      <c r="FY32" s="128">
        <v>53.55</v>
      </c>
      <c r="FZ32" s="128"/>
      <c r="GA32" s="128"/>
      <c r="GB32" s="128"/>
      <c r="GC32" s="128"/>
      <c r="GD32" s="128">
        <v>1</v>
      </c>
      <c r="GE32" s="128"/>
      <c r="GF32" s="128">
        <v>1576660778</v>
      </c>
      <c r="GG32" s="128">
        <v>2</v>
      </c>
      <c r="GH32" s="128">
        <v>1</v>
      </c>
      <c r="GI32" s="128">
        <v>-2</v>
      </c>
      <c r="GJ32" s="128">
        <v>0</v>
      </c>
      <c r="GK32" s="128">
        <v>0</v>
      </c>
      <c r="GL32" s="128">
        <f t="shared" si="41"/>
        <v>0</v>
      </c>
      <c r="GM32" s="128">
        <f t="shared" si="42"/>
        <v>104225</v>
      </c>
      <c r="GN32" s="128">
        <f t="shared" si="43"/>
        <v>104225</v>
      </c>
      <c r="GO32" s="128">
        <f t="shared" si="44"/>
        <v>0</v>
      </c>
      <c r="GP32" s="128">
        <f t="shared" si="45"/>
        <v>0</v>
      </c>
      <c r="GQ32" s="128"/>
      <c r="GR32" s="128">
        <v>0</v>
      </c>
      <c r="GS32" s="128">
        <v>0</v>
      </c>
      <c r="GT32" s="128">
        <v>0</v>
      </c>
      <c r="GU32" s="128"/>
      <c r="GV32" s="128">
        <f t="shared" si="46"/>
        <v>0</v>
      </c>
      <c r="GW32" s="128">
        <v>1</v>
      </c>
      <c r="GX32" s="128">
        <f t="shared" si="47"/>
        <v>0</v>
      </c>
      <c r="GY32" s="128"/>
      <c r="GZ32" s="128"/>
      <c r="HA32" s="128">
        <v>0</v>
      </c>
      <c r="HB32" s="128">
        <v>0</v>
      </c>
      <c r="HC32" s="128">
        <f t="shared" si="48"/>
        <v>0</v>
      </c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>
        <v>0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</row>
    <row r="33" spans="1:255" x14ac:dyDescent="0.2">
      <c r="A33">
        <v>17</v>
      </c>
      <c r="B33">
        <v>1</v>
      </c>
      <c r="C33">
        <f>ROW(SmtRes!A60)</f>
        <v>60</v>
      </c>
      <c r="D33">
        <f>ROW(EtalonRes!A62)</f>
        <v>62</v>
      </c>
      <c r="E33" t="s">
        <v>106</v>
      </c>
      <c r="F33" t="s">
        <v>815</v>
      </c>
      <c r="G33" t="s">
        <v>816</v>
      </c>
      <c r="H33" t="s">
        <v>817</v>
      </c>
      <c r="I33">
        <f>ROUND((ROUND((2.1*2.9+2.1*1.9*5+2.1*1.1*9+2.1*1.2+2.1*2.4*10+2.1*2.2)/100,4)),9)</f>
        <v>1.0437000000000001</v>
      </c>
      <c r="J33">
        <v>0</v>
      </c>
      <c r="O33">
        <f t="shared" si="14"/>
        <v>61392</v>
      </c>
      <c r="P33">
        <f t="shared" si="15"/>
        <v>28241</v>
      </c>
      <c r="Q33">
        <f t="shared" si="16"/>
        <v>4266</v>
      </c>
      <c r="R33">
        <f t="shared" si="17"/>
        <v>206</v>
      </c>
      <c r="S33">
        <f t="shared" si="18"/>
        <v>28885</v>
      </c>
      <c r="T33">
        <f t="shared" si="19"/>
        <v>0</v>
      </c>
      <c r="U33">
        <f t="shared" si="20"/>
        <v>179.03003580000001</v>
      </c>
      <c r="V33">
        <f t="shared" si="21"/>
        <v>0.8610525</v>
      </c>
      <c r="W33">
        <f t="shared" si="22"/>
        <v>0</v>
      </c>
      <c r="X33">
        <f t="shared" si="23"/>
        <v>30836</v>
      </c>
      <c r="Y33">
        <f t="shared" si="24"/>
        <v>15709</v>
      </c>
      <c r="AA33">
        <v>51866571</v>
      </c>
      <c r="AB33">
        <f t="shared" si="25"/>
        <v>58821.166684999997</v>
      </c>
      <c r="AC33">
        <f>ROUND((SUM(SmtRes!BQ49:BQ60)),6)</f>
        <v>27058.608</v>
      </c>
      <c r="AD33">
        <f>ROUND((((SUM(SmtRes!BR49:BR60))-(SUM(SmtRes!BS49:BS60)))+AE33),6)</f>
        <v>4087.2631249999999</v>
      </c>
      <c r="AE33">
        <f>ROUND((SUM(SmtRes!BS49:BS60)),6)</f>
        <v>197.25749999999999</v>
      </c>
      <c r="AF33">
        <f>ROUND((SUM(SmtRes!BT49:BT60)),6)</f>
        <v>27675.295559999999</v>
      </c>
      <c r="AG33">
        <f t="shared" si="27"/>
        <v>0</v>
      </c>
      <c r="AH33">
        <f>(SUM(SmtRes!BU49:BU60))</f>
        <v>171.53399999999999</v>
      </c>
      <c r="AI33">
        <f>(SUM(SmtRes!BV49:BV60))</f>
        <v>0.82499999999999996</v>
      </c>
      <c r="AJ33">
        <f t="shared" si="28"/>
        <v>0</v>
      </c>
      <c r="AK33">
        <v>54393.892899999999</v>
      </c>
      <c r="AL33">
        <v>27058.608</v>
      </c>
      <c r="AM33">
        <v>3269.8105</v>
      </c>
      <c r="AN33">
        <v>157.80600000000001</v>
      </c>
      <c r="AO33">
        <v>24065.474399999999</v>
      </c>
      <c r="AP33">
        <v>0</v>
      </c>
      <c r="AQ33">
        <v>149.16</v>
      </c>
      <c r="AR33">
        <v>0.66</v>
      </c>
      <c r="AS33">
        <v>0</v>
      </c>
      <c r="AT33">
        <v>106</v>
      </c>
      <c r="AU33">
        <v>54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H33">
        <v>0</v>
      </c>
      <c r="BI33">
        <v>1</v>
      </c>
      <c r="BJ33" t="s">
        <v>818</v>
      </c>
      <c r="BM33">
        <v>10001</v>
      </c>
      <c r="BN33">
        <v>0</v>
      </c>
      <c r="BP33">
        <v>0</v>
      </c>
      <c r="BQ33">
        <v>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Z33">
        <v>118</v>
      </c>
      <c r="CA33">
        <v>63</v>
      </c>
      <c r="CE33">
        <v>0</v>
      </c>
      <c r="CF33">
        <v>0</v>
      </c>
      <c r="CG33">
        <v>0</v>
      </c>
      <c r="CM33">
        <v>0</v>
      </c>
      <c r="CN33" t="s">
        <v>819</v>
      </c>
      <c r="CO33">
        <v>0</v>
      </c>
      <c r="CP33">
        <f t="shared" si="29"/>
        <v>61392</v>
      </c>
      <c r="CQ33">
        <f t="shared" si="30"/>
        <v>27058.608</v>
      </c>
      <c r="CR33">
        <f t="shared" si="31"/>
        <v>4087.2631249999999</v>
      </c>
      <c r="CS33">
        <f t="shared" si="32"/>
        <v>197.25749999999999</v>
      </c>
      <c r="CT33">
        <f t="shared" si="33"/>
        <v>27675.295559999999</v>
      </c>
      <c r="CU33">
        <f t="shared" si="34"/>
        <v>0</v>
      </c>
      <c r="CV33">
        <f t="shared" si="35"/>
        <v>171.53399999999999</v>
      </c>
      <c r="CW33">
        <f t="shared" si="36"/>
        <v>0.82499999999999996</v>
      </c>
      <c r="CX33">
        <f t="shared" si="37"/>
        <v>0</v>
      </c>
      <c r="CY33">
        <f t="shared" si="38"/>
        <v>30836.46</v>
      </c>
      <c r="CZ33">
        <f t="shared" si="39"/>
        <v>15709.14</v>
      </c>
      <c r="DE33" t="s">
        <v>820</v>
      </c>
      <c r="DF33" t="s">
        <v>820</v>
      </c>
      <c r="DG33" t="s">
        <v>821</v>
      </c>
      <c r="DI33" t="s">
        <v>821</v>
      </c>
      <c r="DJ33" t="s">
        <v>820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817</v>
      </c>
      <c r="DW33" t="s">
        <v>817</v>
      </c>
      <c r="DX33">
        <v>1</v>
      </c>
      <c r="EE33">
        <v>49587839</v>
      </c>
      <c r="EF33">
        <v>2</v>
      </c>
      <c r="EG33" t="s">
        <v>709</v>
      </c>
      <c r="EH33">
        <v>0</v>
      </c>
      <c r="EJ33">
        <v>1</v>
      </c>
      <c r="EK33">
        <v>10001</v>
      </c>
      <c r="EL33" t="s">
        <v>0</v>
      </c>
      <c r="EM33" t="s">
        <v>822</v>
      </c>
      <c r="EO33" t="s">
        <v>823</v>
      </c>
      <c r="EQ33">
        <v>0</v>
      </c>
      <c r="ER33">
        <v>217615.05</v>
      </c>
      <c r="ES33">
        <v>215975.3</v>
      </c>
      <c r="ET33">
        <v>421.11</v>
      </c>
      <c r="EU33">
        <v>7.99</v>
      </c>
      <c r="EV33">
        <v>1218.6400000000001</v>
      </c>
      <c r="EW33">
        <v>149.16</v>
      </c>
      <c r="EX33">
        <v>0.66</v>
      </c>
      <c r="EY33">
        <v>0</v>
      </c>
      <c r="FQ33">
        <v>0</v>
      </c>
      <c r="FR33">
        <f t="shared" si="40"/>
        <v>0</v>
      </c>
      <c r="FS33">
        <v>0</v>
      </c>
      <c r="FT33" t="s">
        <v>1</v>
      </c>
      <c r="FU33" t="s">
        <v>2</v>
      </c>
      <c r="FX33">
        <v>106.2</v>
      </c>
      <c r="FY33">
        <v>53.55</v>
      </c>
      <c r="GD33">
        <v>1</v>
      </c>
      <c r="GF33">
        <v>1576660778</v>
      </c>
      <c r="GG33">
        <v>2</v>
      </c>
      <c r="GH33">
        <v>1</v>
      </c>
      <c r="GI33">
        <v>-2</v>
      </c>
      <c r="GJ33">
        <v>0</v>
      </c>
      <c r="GK33">
        <v>0</v>
      </c>
      <c r="GL33">
        <f t="shared" si="41"/>
        <v>0</v>
      </c>
      <c r="GM33">
        <f t="shared" si="42"/>
        <v>107937</v>
      </c>
      <c r="GN33">
        <f t="shared" si="43"/>
        <v>107937</v>
      </c>
      <c r="GO33">
        <f t="shared" si="44"/>
        <v>0</v>
      </c>
      <c r="GP33">
        <f t="shared" si="45"/>
        <v>0</v>
      </c>
      <c r="GR33">
        <v>0</v>
      </c>
      <c r="GS33">
        <v>3</v>
      </c>
      <c r="GT33">
        <v>0</v>
      </c>
      <c r="GV33">
        <f t="shared" si="46"/>
        <v>0</v>
      </c>
      <c r="GW33">
        <v>1</v>
      </c>
      <c r="GX33">
        <f t="shared" si="47"/>
        <v>0</v>
      </c>
      <c r="HA33">
        <v>0</v>
      </c>
      <c r="HB33">
        <v>0</v>
      </c>
      <c r="HC33">
        <f t="shared" si="48"/>
        <v>0</v>
      </c>
      <c r="IK33">
        <v>0</v>
      </c>
    </row>
    <row r="34" spans="1:255" x14ac:dyDescent="0.2">
      <c r="A34" s="128">
        <v>17</v>
      </c>
      <c r="B34" s="128">
        <v>1</v>
      </c>
      <c r="C34" s="128"/>
      <c r="D34" s="128"/>
      <c r="E34" s="128" t="s">
        <v>112</v>
      </c>
      <c r="F34" s="128" t="s">
        <v>824</v>
      </c>
      <c r="G34" s="128" t="s">
        <v>825</v>
      </c>
      <c r="H34" s="128" t="s">
        <v>117</v>
      </c>
      <c r="I34" s="128">
        <f>ROUND((2.1*2.9+2.1*1.9*5+2.1*2.4*10+2.1*2.2),2)</f>
        <v>81.06</v>
      </c>
      <c r="J34" s="128">
        <v>0</v>
      </c>
      <c r="K34" s="128"/>
      <c r="L34" s="128"/>
      <c r="M34" s="128"/>
      <c r="N34" s="128"/>
      <c r="O34" s="128">
        <f t="shared" si="14"/>
        <v>225196</v>
      </c>
      <c r="P34" s="128">
        <f t="shared" si="15"/>
        <v>225196</v>
      </c>
      <c r="Q34" s="128">
        <f t="shared" si="16"/>
        <v>0</v>
      </c>
      <c r="R34" s="128">
        <f t="shared" si="17"/>
        <v>0</v>
      </c>
      <c r="S34" s="128">
        <f t="shared" si="18"/>
        <v>0</v>
      </c>
      <c r="T34" s="128">
        <f t="shared" si="19"/>
        <v>0</v>
      </c>
      <c r="U34" s="128">
        <f t="shared" si="20"/>
        <v>0</v>
      </c>
      <c r="V34" s="128">
        <f t="shared" si="21"/>
        <v>0</v>
      </c>
      <c r="W34" s="128">
        <f t="shared" si="22"/>
        <v>0</v>
      </c>
      <c r="X34" s="128">
        <f t="shared" si="23"/>
        <v>0</v>
      </c>
      <c r="Y34" s="128">
        <f t="shared" si="24"/>
        <v>0</v>
      </c>
      <c r="Z34" s="128"/>
      <c r="AA34" s="128">
        <v>51866573</v>
      </c>
      <c r="AB34" s="128">
        <f t="shared" si="25"/>
        <v>2778.14</v>
      </c>
      <c r="AC34" s="128">
        <f t="shared" ref="AC34:AC39" si="49">ROUND((ES34),6)</f>
        <v>2778.14</v>
      </c>
      <c r="AD34" s="128">
        <f t="shared" ref="AD34:AD39" si="50">ROUND((((ET34)-(EU34))+AE34),6)</f>
        <v>0</v>
      </c>
      <c r="AE34" s="128">
        <f t="shared" ref="AE34:AF39" si="51">ROUND((EU34),6)</f>
        <v>0</v>
      </c>
      <c r="AF34" s="128">
        <f t="shared" si="51"/>
        <v>0</v>
      </c>
      <c r="AG34" s="128">
        <f t="shared" si="27"/>
        <v>0</v>
      </c>
      <c r="AH34" s="128">
        <f t="shared" ref="AH34:AI39" si="52">(EW34)</f>
        <v>0</v>
      </c>
      <c r="AI34" s="128">
        <f t="shared" si="52"/>
        <v>0</v>
      </c>
      <c r="AJ34" s="128">
        <f t="shared" si="28"/>
        <v>0</v>
      </c>
      <c r="AK34" s="128">
        <v>2778.14</v>
      </c>
      <c r="AL34" s="128">
        <v>2778.14</v>
      </c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1</v>
      </c>
      <c r="AW34" s="128">
        <v>1</v>
      </c>
      <c r="AX34" s="128"/>
      <c r="AY34" s="128"/>
      <c r="AZ34" s="128">
        <v>1</v>
      </c>
      <c r="BA34" s="128">
        <v>1</v>
      </c>
      <c r="BB34" s="128">
        <v>1</v>
      </c>
      <c r="BC34" s="128">
        <v>1</v>
      </c>
      <c r="BD34" s="128"/>
      <c r="BE34" s="128"/>
      <c r="BF34" s="128"/>
      <c r="BG34" s="128"/>
      <c r="BH34" s="128">
        <v>3</v>
      </c>
      <c r="BI34" s="128">
        <v>1</v>
      </c>
      <c r="BJ34" s="128" t="s">
        <v>826</v>
      </c>
      <c r="BK34" s="128"/>
      <c r="BL34" s="128"/>
      <c r="BM34" s="128">
        <v>500001</v>
      </c>
      <c r="BN34" s="128">
        <v>0</v>
      </c>
      <c r="BO34" s="128"/>
      <c r="BP34" s="128">
        <v>0</v>
      </c>
      <c r="BQ34" s="128">
        <v>8</v>
      </c>
      <c r="BR34" s="128">
        <v>0</v>
      </c>
      <c r="BS34" s="128">
        <v>1</v>
      </c>
      <c r="BT34" s="128">
        <v>1</v>
      </c>
      <c r="BU34" s="128">
        <v>1</v>
      </c>
      <c r="BV34" s="128">
        <v>1</v>
      </c>
      <c r="BW34" s="128">
        <v>1</v>
      </c>
      <c r="BX34" s="128">
        <v>1</v>
      </c>
      <c r="BY34" s="128"/>
      <c r="BZ34" s="128">
        <v>0</v>
      </c>
      <c r="CA34" s="128">
        <v>0</v>
      </c>
      <c r="CB34" s="128"/>
      <c r="CC34" s="128"/>
      <c r="CD34" s="128"/>
      <c r="CE34" s="128">
        <v>0</v>
      </c>
      <c r="CF34" s="128">
        <v>0</v>
      </c>
      <c r="CG34" s="128">
        <v>0</v>
      </c>
      <c r="CH34" s="128"/>
      <c r="CI34" s="128"/>
      <c r="CJ34" s="128"/>
      <c r="CK34" s="128"/>
      <c r="CL34" s="128"/>
      <c r="CM34" s="128">
        <v>0</v>
      </c>
      <c r="CN34" s="128"/>
      <c r="CO34" s="128">
        <v>0</v>
      </c>
      <c r="CP34" s="128">
        <f t="shared" si="29"/>
        <v>225196</v>
      </c>
      <c r="CQ34" s="128">
        <f t="shared" si="30"/>
        <v>2778.14</v>
      </c>
      <c r="CR34" s="128">
        <f t="shared" si="31"/>
        <v>0</v>
      </c>
      <c r="CS34" s="128">
        <f t="shared" si="32"/>
        <v>0</v>
      </c>
      <c r="CT34" s="128">
        <f t="shared" si="33"/>
        <v>0</v>
      </c>
      <c r="CU34" s="128">
        <f t="shared" si="34"/>
        <v>0</v>
      </c>
      <c r="CV34" s="128">
        <f t="shared" si="35"/>
        <v>0</v>
      </c>
      <c r="CW34" s="128">
        <f t="shared" si="36"/>
        <v>0</v>
      </c>
      <c r="CX34" s="128">
        <f t="shared" si="37"/>
        <v>0</v>
      </c>
      <c r="CY34" s="128">
        <f t="shared" si="38"/>
        <v>0</v>
      </c>
      <c r="CZ34" s="128">
        <f t="shared" si="39"/>
        <v>0</v>
      </c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>
        <v>0</v>
      </c>
      <c r="DO34" s="128">
        <v>0</v>
      </c>
      <c r="DP34" s="128">
        <v>1</v>
      </c>
      <c r="DQ34" s="128">
        <v>1</v>
      </c>
      <c r="DR34" s="128"/>
      <c r="DS34" s="128"/>
      <c r="DT34" s="128"/>
      <c r="DU34" s="128">
        <v>1005</v>
      </c>
      <c r="DV34" s="128" t="s">
        <v>117</v>
      </c>
      <c r="DW34" s="128" t="s">
        <v>117</v>
      </c>
      <c r="DX34" s="128">
        <v>1</v>
      </c>
      <c r="DY34" s="128"/>
      <c r="DZ34" s="128"/>
      <c r="EA34" s="128"/>
      <c r="EB34" s="128"/>
      <c r="EC34" s="128"/>
      <c r="ED34" s="128"/>
      <c r="EE34" s="128">
        <v>49587772</v>
      </c>
      <c r="EF34" s="128">
        <v>8</v>
      </c>
      <c r="EG34" s="128" t="s">
        <v>827</v>
      </c>
      <c r="EH34" s="128">
        <v>0</v>
      </c>
      <c r="EI34" s="128"/>
      <c r="EJ34" s="128">
        <v>1</v>
      </c>
      <c r="EK34" s="128">
        <v>500001</v>
      </c>
      <c r="EL34" s="128" t="s">
        <v>7</v>
      </c>
      <c r="EM34" s="128" t="s">
        <v>828</v>
      </c>
      <c r="EN34" s="128"/>
      <c r="EO34" s="128"/>
      <c r="EP34" s="128"/>
      <c r="EQ34" s="128">
        <v>0</v>
      </c>
      <c r="ER34" s="128">
        <v>2778.14</v>
      </c>
      <c r="ES34" s="128">
        <v>2778.14</v>
      </c>
      <c r="ET34" s="128">
        <v>0</v>
      </c>
      <c r="EU34" s="128">
        <v>0</v>
      </c>
      <c r="EV34" s="128">
        <v>0</v>
      </c>
      <c r="EW34" s="128">
        <v>0</v>
      </c>
      <c r="EX34" s="128">
        <v>0</v>
      </c>
      <c r="EY34" s="128">
        <v>0</v>
      </c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>
        <v>0</v>
      </c>
      <c r="FR34" s="128">
        <f t="shared" si="40"/>
        <v>0</v>
      </c>
      <c r="FS34" s="128">
        <v>0</v>
      </c>
      <c r="FT34" s="128"/>
      <c r="FU34" s="128"/>
      <c r="FV34" s="128"/>
      <c r="FW34" s="128"/>
      <c r="FX34" s="128">
        <v>0</v>
      </c>
      <c r="FY34" s="128">
        <v>0</v>
      </c>
      <c r="FZ34" s="128"/>
      <c r="GA34" s="128"/>
      <c r="GB34" s="128"/>
      <c r="GC34" s="128"/>
      <c r="GD34" s="128">
        <v>1</v>
      </c>
      <c r="GE34" s="128"/>
      <c r="GF34" s="128">
        <v>1979314206</v>
      </c>
      <c r="GG34" s="128">
        <v>2</v>
      </c>
      <c r="GH34" s="128">
        <v>1</v>
      </c>
      <c r="GI34" s="128">
        <v>-2</v>
      </c>
      <c r="GJ34" s="128">
        <v>0</v>
      </c>
      <c r="GK34" s="128">
        <v>0</v>
      </c>
      <c r="GL34" s="128">
        <f t="shared" si="41"/>
        <v>0</v>
      </c>
      <c r="GM34" s="128">
        <f t="shared" si="42"/>
        <v>225196</v>
      </c>
      <c r="GN34" s="128">
        <f t="shared" si="43"/>
        <v>225196</v>
      </c>
      <c r="GO34" s="128">
        <f t="shared" si="44"/>
        <v>0</v>
      </c>
      <c r="GP34" s="128">
        <f t="shared" si="45"/>
        <v>0</v>
      </c>
      <c r="GQ34" s="128"/>
      <c r="GR34" s="128">
        <v>0</v>
      </c>
      <c r="GS34" s="128">
        <v>3</v>
      </c>
      <c r="GT34" s="128">
        <v>0</v>
      </c>
      <c r="GU34" s="128"/>
      <c r="GV34" s="128">
        <f t="shared" si="46"/>
        <v>0</v>
      </c>
      <c r="GW34" s="128">
        <v>1</v>
      </c>
      <c r="GX34" s="128">
        <f t="shared" si="47"/>
        <v>0</v>
      </c>
      <c r="GY34" s="128"/>
      <c r="GZ34" s="128"/>
      <c r="HA34" s="128">
        <v>0</v>
      </c>
      <c r="HB34" s="128">
        <v>0</v>
      </c>
      <c r="HC34" s="128">
        <f t="shared" si="48"/>
        <v>0</v>
      </c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>
        <v>0</v>
      </c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</row>
    <row r="35" spans="1:255" x14ac:dyDescent="0.2">
      <c r="A35">
        <v>17</v>
      </c>
      <c r="B35">
        <v>1</v>
      </c>
      <c r="E35" t="s">
        <v>112</v>
      </c>
      <c r="F35" t="s">
        <v>824</v>
      </c>
      <c r="G35" t="s">
        <v>825</v>
      </c>
      <c r="H35" t="s">
        <v>117</v>
      </c>
      <c r="I35">
        <f>ROUND((2.1*2.9+2.1*1.9*5+2.1*2.4*10+2.1*2.2),2)</f>
        <v>81.06</v>
      </c>
      <c r="J35">
        <v>0</v>
      </c>
      <c r="O35">
        <f t="shared" si="14"/>
        <v>270793</v>
      </c>
      <c r="P35">
        <f t="shared" si="15"/>
        <v>270793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</v>
      </c>
      <c r="X35">
        <f t="shared" si="23"/>
        <v>0</v>
      </c>
      <c r="Y35">
        <f t="shared" si="24"/>
        <v>0</v>
      </c>
      <c r="AA35">
        <v>51866571</v>
      </c>
      <c r="AB35">
        <f t="shared" si="25"/>
        <v>3340.65</v>
      </c>
      <c r="AC35">
        <f t="shared" si="49"/>
        <v>3340.65</v>
      </c>
      <c r="AD35">
        <f t="shared" si="50"/>
        <v>0</v>
      </c>
      <c r="AE35">
        <f t="shared" si="51"/>
        <v>0</v>
      </c>
      <c r="AF35">
        <f t="shared" si="51"/>
        <v>0</v>
      </c>
      <c r="AG35">
        <f t="shared" si="27"/>
        <v>0</v>
      </c>
      <c r="AH35">
        <f t="shared" si="52"/>
        <v>0</v>
      </c>
      <c r="AI35">
        <f t="shared" si="52"/>
        <v>0</v>
      </c>
      <c r="AJ35">
        <f t="shared" si="28"/>
        <v>0</v>
      </c>
      <c r="AK35">
        <v>3340.65</v>
      </c>
      <c r="AL35">
        <v>3340.65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H35">
        <v>3</v>
      </c>
      <c r="BI35">
        <v>1</v>
      </c>
      <c r="BJ35" t="s">
        <v>826</v>
      </c>
      <c r="BM35">
        <v>500001</v>
      </c>
      <c r="BN35">
        <v>0</v>
      </c>
      <c r="BP35">
        <v>0</v>
      </c>
      <c r="BQ35">
        <v>8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O35">
        <v>0</v>
      </c>
      <c r="CP35">
        <f t="shared" si="29"/>
        <v>270793</v>
      </c>
      <c r="CQ35">
        <f t="shared" si="30"/>
        <v>3340.65</v>
      </c>
      <c r="CR35">
        <f t="shared" si="31"/>
        <v>0</v>
      </c>
      <c r="CS35">
        <f t="shared" si="32"/>
        <v>0</v>
      </c>
      <c r="CT35">
        <f t="shared" si="33"/>
        <v>0</v>
      </c>
      <c r="CU35">
        <f t="shared" si="34"/>
        <v>0</v>
      </c>
      <c r="CV35">
        <f t="shared" si="35"/>
        <v>0</v>
      </c>
      <c r="CW35">
        <f t="shared" si="36"/>
        <v>0</v>
      </c>
      <c r="CX35">
        <f t="shared" si="37"/>
        <v>0</v>
      </c>
      <c r="CY35">
        <f t="shared" si="38"/>
        <v>0</v>
      </c>
      <c r="CZ35">
        <f t="shared" si="39"/>
        <v>0</v>
      </c>
      <c r="DN35">
        <v>0</v>
      </c>
      <c r="DO35">
        <v>0</v>
      </c>
      <c r="DP35">
        <v>1</v>
      </c>
      <c r="DQ35">
        <v>1</v>
      </c>
      <c r="DU35">
        <v>1005</v>
      </c>
      <c r="DV35" t="s">
        <v>117</v>
      </c>
      <c r="DW35" t="s">
        <v>117</v>
      </c>
      <c r="DX35">
        <v>1</v>
      </c>
      <c r="EE35">
        <v>49587772</v>
      </c>
      <c r="EF35">
        <v>8</v>
      </c>
      <c r="EG35" t="s">
        <v>827</v>
      </c>
      <c r="EH35">
        <v>0</v>
      </c>
      <c r="EJ35">
        <v>1</v>
      </c>
      <c r="EK35">
        <v>500001</v>
      </c>
      <c r="EL35" t="s">
        <v>7</v>
      </c>
      <c r="EM35" t="s">
        <v>828</v>
      </c>
      <c r="EQ35">
        <v>0</v>
      </c>
      <c r="ER35">
        <v>3340.65</v>
      </c>
      <c r="ES35">
        <v>3340.65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0"/>
        <v>0</v>
      </c>
      <c r="FS35">
        <v>0</v>
      </c>
      <c r="FX35">
        <v>0</v>
      </c>
      <c r="FY35">
        <v>0</v>
      </c>
      <c r="GD35">
        <v>1</v>
      </c>
      <c r="GE35">
        <v>2778.14</v>
      </c>
      <c r="GF35">
        <v>1979314206</v>
      </c>
      <c r="GG35">
        <v>2</v>
      </c>
      <c r="GH35">
        <v>1</v>
      </c>
      <c r="GI35">
        <v>-2</v>
      </c>
      <c r="GJ35">
        <v>0</v>
      </c>
      <c r="GK35">
        <v>0</v>
      </c>
      <c r="GL35">
        <f t="shared" si="41"/>
        <v>0</v>
      </c>
      <c r="GM35">
        <f t="shared" si="42"/>
        <v>270793</v>
      </c>
      <c r="GN35">
        <f t="shared" si="43"/>
        <v>270793</v>
      </c>
      <c r="GO35">
        <f t="shared" si="44"/>
        <v>0</v>
      </c>
      <c r="GP35">
        <f t="shared" si="45"/>
        <v>0</v>
      </c>
      <c r="GR35">
        <v>3</v>
      </c>
      <c r="GS35">
        <v>3</v>
      </c>
      <c r="GT35">
        <v>0</v>
      </c>
      <c r="GV35">
        <f t="shared" si="46"/>
        <v>0</v>
      </c>
      <c r="GW35">
        <v>1</v>
      </c>
      <c r="GX35">
        <f t="shared" si="47"/>
        <v>0</v>
      </c>
      <c r="HA35">
        <v>0</v>
      </c>
      <c r="HB35">
        <v>0</v>
      </c>
      <c r="HC35">
        <f t="shared" si="48"/>
        <v>0</v>
      </c>
      <c r="IK35">
        <v>0</v>
      </c>
    </row>
    <row r="36" spans="1:255" x14ac:dyDescent="0.2">
      <c r="A36" s="128">
        <v>17</v>
      </c>
      <c r="B36" s="128">
        <v>1</v>
      </c>
      <c r="C36" s="128"/>
      <c r="D36" s="128"/>
      <c r="E36" s="128" t="s">
        <v>114</v>
      </c>
      <c r="F36" s="128" t="s">
        <v>829</v>
      </c>
      <c r="G36" s="128" t="s">
        <v>830</v>
      </c>
      <c r="H36" s="128" t="s">
        <v>117</v>
      </c>
      <c r="I36" s="128">
        <f>ROUND(2.1*1.2,9)</f>
        <v>2.52</v>
      </c>
      <c r="J36" s="128">
        <v>0</v>
      </c>
      <c r="K36" s="128"/>
      <c r="L36" s="128"/>
      <c r="M36" s="128"/>
      <c r="N36" s="128"/>
      <c r="O36" s="128">
        <f t="shared" si="14"/>
        <v>8657</v>
      </c>
      <c r="P36" s="128">
        <f t="shared" si="15"/>
        <v>8657</v>
      </c>
      <c r="Q36" s="128">
        <f t="shared" si="16"/>
        <v>0</v>
      </c>
      <c r="R36" s="128">
        <f t="shared" si="17"/>
        <v>0</v>
      </c>
      <c r="S36" s="128">
        <f t="shared" si="18"/>
        <v>0</v>
      </c>
      <c r="T36" s="128">
        <f t="shared" si="19"/>
        <v>0</v>
      </c>
      <c r="U36" s="128">
        <f t="shared" si="20"/>
        <v>0</v>
      </c>
      <c r="V36" s="128">
        <f t="shared" si="21"/>
        <v>0</v>
      </c>
      <c r="W36" s="128">
        <f t="shared" si="22"/>
        <v>0</v>
      </c>
      <c r="X36" s="128">
        <f t="shared" si="23"/>
        <v>0</v>
      </c>
      <c r="Y36" s="128">
        <f t="shared" si="24"/>
        <v>0</v>
      </c>
      <c r="Z36" s="128"/>
      <c r="AA36" s="128">
        <v>51866573</v>
      </c>
      <c r="AB36" s="128">
        <f t="shared" si="25"/>
        <v>3435.39</v>
      </c>
      <c r="AC36" s="128">
        <f t="shared" si="49"/>
        <v>3435.39</v>
      </c>
      <c r="AD36" s="128">
        <f t="shared" si="50"/>
        <v>0</v>
      </c>
      <c r="AE36" s="128">
        <f t="shared" si="51"/>
        <v>0</v>
      </c>
      <c r="AF36" s="128">
        <f t="shared" si="51"/>
        <v>0</v>
      </c>
      <c r="AG36" s="128">
        <f t="shared" si="27"/>
        <v>0</v>
      </c>
      <c r="AH36" s="128">
        <f t="shared" si="52"/>
        <v>0</v>
      </c>
      <c r="AI36" s="128">
        <f t="shared" si="52"/>
        <v>0</v>
      </c>
      <c r="AJ36" s="128">
        <f t="shared" si="28"/>
        <v>0</v>
      </c>
      <c r="AK36" s="128">
        <v>3435.39</v>
      </c>
      <c r="AL36" s="128">
        <v>3435.39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1</v>
      </c>
      <c r="AW36" s="128">
        <v>1</v>
      </c>
      <c r="AX36" s="128"/>
      <c r="AY36" s="128"/>
      <c r="AZ36" s="128">
        <v>1</v>
      </c>
      <c r="BA36" s="128">
        <v>1</v>
      </c>
      <c r="BB36" s="128">
        <v>1</v>
      </c>
      <c r="BC36" s="128">
        <v>1</v>
      </c>
      <c r="BD36" s="128"/>
      <c r="BE36" s="128"/>
      <c r="BF36" s="128"/>
      <c r="BG36" s="128"/>
      <c r="BH36" s="128">
        <v>3</v>
      </c>
      <c r="BI36" s="128">
        <v>1</v>
      </c>
      <c r="BJ36" s="128" t="s">
        <v>831</v>
      </c>
      <c r="BK36" s="128"/>
      <c r="BL36" s="128"/>
      <c r="BM36" s="128">
        <v>500001</v>
      </c>
      <c r="BN36" s="128">
        <v>0</v>
      </c>
      <c r="BO36" s="128"/>
      <c r="BP36" s="128">
        <v>0</v>
      </c>
      <c r="BQ36" s="128">
        <v>8</v>
      </c>
      <c r="BR36" s="128">
        <v>0</v>
      </c>
      <c r="BS36" s="128">
        <v>1</v>
      </c>
      <c r="BT36" s="128">
        <v>1</v>
      </c>
      <c r="BU36" s="128">
        <v>1</v>
      </c>
      <c r="BV36" s="128">
        <v>1</v>
      </c>
      <c r="BW36" s="128">
        <v>1</v>
      </c>
      <c r="BX36" s="128">
        <v>1</v>
      </c>
      <c r="BY36" s="128"/>
      <c r="BZ36" s="128">
        <v>0</v>
      </c>
      <c r="CA36" s="128">
        <v>0</v>
      </c>
      <c r="CB36" s="128"/>
      <c r="CC36" s="128"/>
      <c r="CD36" s="128"/>
      <c r="CE36" s="128">
        <v>0</v>
      </c>
      <c r="CF36" s="128">
        <v>0</v>
      </c>
      <c r="CG36" s="128">
        <v>0</v>
      </c>
      <c r="CH36" s="128"/>
      <c r="CI36" s="128"/>
      <c r="CJ36" s="128"/>
      <c r="CK36" s="128"/>
      <c r="CL36" s="128"/>
      <c r="CM36" s="128">
        <v>0</v>
      </c>
      <c r="CN36" s="128"/>
      <c r="CO36" s="128">
        <v>0</v>
      </c>
      <c r="CP36" s="128">
        <f t="shared" si="29"/>
        <v>8657</v>
      </c>
      <c r="CQ36" s="128">
        <f t="shared" si="30"/>
        <v>3435.39</v>
      </c>
      <c r="CR36" s="128">
        <f t="shared" si="31"/>
        <v>0</v>
      </c>
      <c r="CS36" s="128">
        <f t="shared" si="32"/>
        <v>0</v>
      </c>
      <c r="CT36" s="128">
        <f t="shared" si="33"/>
        <v>0</v>
      </c>
      <c r="CU36" s="128">
        <f t="shared" si="34"/>
        <v>0</v>
      </c>
      <c r="CV36" s="128">
        <f t="shared" si="35"/>
        <v>0</v>
      </c>
      <c r="CW36" s="128">
        <f t="shared" si="36"/>
        <v>0</v>
      </c>
      <c r="CX36" s="128">
        <f t="shared" si="37"/>
        <v>0</v>
      </c>
      <c r="CY36" s="128">
        <f t="shared" si="38"/>
        <v>0</v>
      </c>
      <c r="CZ36" s="128">
        <f t="shared" si="39"/>
        <v>0</v>
      </c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>
        <v>0</v>
      </c>
      <c r="DO36" s="128">
        <v>0</v>
      </c>
      <c r="DP36" s="128">
        <v>1</v>
      </c>
      <c r="DQ36" s="128">
        <v>1</v>
      </c>
      <c r="DR36" s="128"/>
      <c r="DS36" s="128"/>
      <c r="DT36" s="128"/>
      <c r="DU36" s="128">
        <v>1005</v>
      </c>
      <c r="DV36" s="128" t="s">
        <v>117</v>
      </c>
      <c r="DW36" s="128" t="s">
        <v>117</v>
      </c>
      <c r="DX36" s="128">
        <v>1</v>
      </c>
      <c r="DY36" s="128"/>
      <c r="DZ36" s="128"/>
      <c r="EA36" s="128"/>
      <c r="EB36" s="128"/>
      <c r="EC36" s="128"/>
      <c r="ED36" s="128"/>
      <c r="EE36" s="128">
        <v>49587772</v>
      </c>
      <c r="EF36" s="128">
        <v>8</v>
      </c>
      <c r="EG36" s="128" t="s">
        <v>827</v>
      </c>
      <c r="EH36" s="128">
        <v>0</v>
      </c>
      <c r="EI36" s="128"/>
      <c r="EJ36" s="128">
        <v>1</v>
      </c>
      <c r="EK36" s="128">
        <v>500001</v>
      </c>
      <c r="EL36" s="128" t="s">
        <v>7</v>
      </c>
      <c r="EM36" s="128" t="s">
        <v>828</v>
      </c>
      <c r="EN36" s="128"/>
      <c r="EO36" s="128"/>
      <c r="EP36" s="128"/>
      <c r="EQ36" s="128">
        <v>0</v>
      </c>
      <c r="ER36" s="128">
        <v>3435.39</v>
      </c>
      <c r="ES36" s="128">
        <v>3435.39</v>
      </c>
      <c r="ET36" s="128">
        <v>0</v>
      </c>
      <c r="EU36" s="128">
        <v>0</v>
      </c>
      <c r="EV36" s="128">
        <v>0</v>
      </c>
      <c r="EW36" s="128">
        <v>0</v>
      </c>
      <c r="EX36" s="128">
        <v>0</v>
      </c>
      <c r="EY36" s="128">
        <v>0</v>
      </c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>
        <v>0</v>
      </c>
      <c r="FR36" s="128">
        <f t="shared" si="40"/>
        <v>0</v>
      </c>
      <c r="FS36" s="128">
        <v>0</v>
      </c>
      <c r="FT36" s="128"/>
      <c r="FU36" s="128"/>
      <c r="FV36" s="128"/>
      <c r="FW36" s="128"/>
      <c r="FX36" s="128">
        <v>0</v>
      </c>
      <c r="FY36" s="128">
        <v>0</v>
      </c>
      <c r="FZ36" s="128"/>
      <c r="GA36" s="128"/>
      <c r="GB36" s="128"/>
      <c r="GC36" s="128"/>
      <c r="GD36" s="128">
        <v>1</v>
      </c>
      <c r="GE36" s="128"/>
      <c r="GF36" s="128">
        <v>-43715226</v>
      </c>
      <c r="GG36" s="128">
        <v>2</v>
      </c>
      <c r="GH36" s="128">
        <v>1</v>
      </c>
      <c r="GI36" s="128">
        <v>-2</v>
      </c>
      <c r="GJ36" s="128">
        <v>0</v>
      </c>
      <c r="GK36" s="128">
        <v>0</v>
      </c>
      <c r="GL36" s="128">
        <f t="shared" si="41"/>
        <v>0</v>
      </c>
      <c r="GM36" s="128">
        <f t="shared" si="42"/>
        <v>8657</v>
      </c>
      <c r="GN36" s="128">
        <f t="shared" si="43"/>
        <v>8657</v>
      </c>
      <c r="GO36" s="128">
        <f t="shared" si="44"/>
        <v>0</v>
      </c>
      <c r="GP36" s="128">
        <f t="shared" si="45"/>
        <v>0</v>
      </c>
      <c r="GQ36" s="128"/>
      <c r="GR36" s="128">
        <v>0</v>
      </c>
      <c r="GS36" s="128">
        <v>3</v>
      </c>
      <c r="GT36" s="128">
        <v>0</v>
      </c>
      <c r="GU36" s="128"/>
      <c r="GV36" s="128">
        <f t="shared" si="46"/>
        <v>0</v>
      </c>
      <c r="GW36" s="128">
        <v>1</v>
      </c>
      <c r="GX36" s="128">
        <f t="shared" si="47"/>
        <v>0</v>
      </c>
      <c r="GY36" s="128"/>
      <c r="GZ36" s="128"/>
      <c r="HA36" s="128">
        <v>0</v>
      </c>
      <c r="HB36" s="128">
        <v>0</v>
      </c>
      <c r="HC36" s="128">
        <f t="shared" si="48"/>
        <v>0</v>
      </c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>
        <v>0</v>
      </c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</row>
    <row r="37" spans="1:255" x14ac:dyDescent="0.2">
      <c r="A37">
        <v>17</v>
      </c>
      <c r="B37">
        <v>1</v>
      </c>
      <c r="E37" t="s">
        <v>114</v>
      </c>
      <c r="F37" t="s">
        <v>829</v>
      </c>
      <c r="G37" t="s">
        <v>830</v>
      </c>
      <c r="H37" t="s">
        <v>117</v>
      </c>
      <c r="I37">
        <f>ROUND(2.1*1.2,9)</f>
        <v>2.52</v>
      </c>
      <c r="J37">
        <v>0</v>
      </c>
      <c r="O37">
        <f t="shared" si="14"/>
        <v>9801</v>
      </c>
      <c r="P37">
        <f t="shared" si="15"/>
        <v>9801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51866571</v>
      </c>
      <c r="AB37">
        <f t="shared" si="25"/>
        <v>3889.18</v>
      </c>
      <c r="AC37">
        <f t="shared" si="49"/>
        <v>3889.18</v>
      </c>
      <c r="AD37">
        <f t="shared" si="50"/>
        <v>0</v>
      </c>
      <c r="AE37">
        <f t="shared" si="51"/>
        <v>0</v>
      </c>
      <c r="AF37">
        <f t="shared" si="51"/>
        <v>0</v>
      </c>
      <c r="AG37">
        <f t="shared" si="27"/>
        <v>0</v>
      </c>
      <c r="AH37">
        <f t="shared" si="52"/>
        <v>0</v>
      </c>
      <c r="AI37">
        <f t="shared" si="52"/>
        <v>0</v>
      </c>
      <c r="AJ37">
        <f t="shared" si="28"/>
        <v>0</v>
      </c>
      <c r="AK37">
        <v>3889.18</v>
      </c>
      <c r="AL37">
        <v>3889.18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H37">
        <v>3</v>
      </c>
      <c r="BI37">
        <v>1</v>
      </c>
      <c r="BJ37" t="s">
        <v>831</v>
      </c>
      <c r="BM37">
        <v>500001</v>
      </c>
      <c r="BN37">
        <v>0</v>
      </c>
      <c r="BP37">
        <v>0</v>
      </c>
      <c r="BQ37">
        <v>8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Z37">
        <v>0</v>
      </c>
      <c r="CA37">
        <v>0</v>
      </c>
      <c r="CE37">
        <v>0</v>
      </c>
      <c r="CF37">
        <v>0</v>
      </c>
      <c r="CG37">
        <v>0</v>
      </c>
      <c r="CM37">
        <v>0</v>
      </c>
      <c r="CO37">
        <v>0</v>
      </c>
      <c r="CP37">
        <f t="shared" si="29"/>
        <v>9801</v>
      </c>
      <c r="CQ37">
        <f t="shared" si="30"/>
        <v>3889.18</v>
      </c>
      <c r="CR37">
        <f t="shared" si="31"/>
        <v>0</v>
      </c>
      <c r="CS37">
        <f t="shared" si="32"/>
        <v>0</v>
      </c>
      <c r="CT37">
        <f t="shared" si="33"/>
        <v>0</v>
      </c>
      <c r="CU37">
        <f t="shared" si="34"/>
        <v>0</v>
      </c>
      <c r="CV37">
        <f t="shared" si="35"/>
        <v>0</v>
      </c>
      <c r="CW37">
        <f t="shared" si="36"/>
        <v>0</v>
      </c>
      <c r="CX37">
        <f t="shared" si="37"/>
        <v>0</v>
      </c>
      <c r="CY37">
        <f t="shared" si="38"/>
        <v>0</v>
      </c>
      <c r="CZ37">
        <f t="shared" si="39"/>
        <v>0</v>
      </c>
      <c r="DN37">
        <v>0</v>
      </c>
      <c r="DO37">
        <v>0</v>
      </c>
      <c r="DP37">
        <v>1</v>
      </c>
      <c r="DQ37">
        <v>1</v>
      </c>
      <c r="DU37">
        <v>1005</v>
      </c>
      <c r="DV37" t="s">
        <v>117</v>
      </c>
      <c r="DW37" t="s">
        <v>117</v>
      </c>
      <c r="DX37">
        <v>1</v>
      </c>
      <c r="EE37">
        <v>49587772</v>
      </c>
      <c r="EF37">
        <v>8</v>
      </c>
      <c r="EG37" t="s">
        <v>827</v>
      </c>
      <c r="EH37">
        <v>0</v>
      </c>
      <c r="EJ37">
        <v>1</v>
      </c>
      <c r="EK37">
        <v>500001</v>
      </c>
      <c r="EL37" t="s">
        <v>7</v>
      </c>
      <c r="EM37" t="s">
        <v>828</v>
      </c>
      <c r="EQ37">
        <v>0</v>
      </c>
      <c r="ER37">
        <v>3889.18</v>
      </c>
      <c r="ES37">
        <v>3889.18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40"/>
        <v>0</v>
      </c>
      <c r="FS37">
        <v>0</v>
      </c>
      <c r="FX37">
        <v>0</v>
      </c>
      <c r="FY37">
        <v>0</v>
      </c>
      <c r="GD37">
        <v>1</v>
      </c>
      <c r="GE37">
        <v>3435.39</v>
      </c>
      <c r="GF37">
        <v>-43715226</v>
      </c>
      <c r="GG37">
        <v>2</v>
      </c>
      <c r="GH37">
        <v>1</v>
      </c>
      <c r="GI37">
        <v>-2</v>
      </c>
      <c r="GJ37">
        <v>0</v>
      </c>
      <c r="GK37">
        <v>0</v>
      </c>
      <c r="GL37">
        <f t="shared" si="41"/>
        <v>0</v>
      </c>
      <c r="GM37">
        <f t="shared" si="42"/>
        <v>9801</v>
      </c>
      <c r="GN37">
        <f t="shared" si="43"/>
        <v>9801</v>
      </c>
      <c r="GO37">
        <f t="shared" si="44"/>
        <v>0</v>
      </c>
      <c r="GP37">
        <f t="shared" si="45"/>
        <v>0</v>
      </c>
      <c r="GR37">
        <v>3</v>
      </c>
      <c r="GS37">
        <v>3</v>
      </c>
      <c r="GT37">
        <v>0</v>
      </c>
      <c r="GV37">
        <f t="shared" si="46"/>
        <v>0</v>
      </c>
      <c r="GW37">
        <v>1</v>
      </c>
      <c r="GX37">
        <f t="shared" si="47"/>
        <v>0</v>
      </c>
      <c r="HA37">
        <v>0</v>
      </c>
      <c r="HB37">
        <v>0</v>
      </c>
      <c r="HC37">
        <f t="shared" si="48"/>
        <v>0</v>
      </c>
      <c r="IK37">
        <v>0</v>
      </c>
    </row>
    <row r="38" spans="1:255" x14ac:dyDescent="0.2">
      <c r="A38" s="128">
        <v>17</v>
      </c>
      <c r="B38" s="128">
        <v>1</v>
      </c>
      <c r="C38" s="128"/>
      <c r="D38" s="128"/>
      <c r="E38" s="128" t="s">
        <v>115</v>
      </c>
      <c r="F38" s="128" t="s">
        <v>832</v>
      </c>
      <c r="G38" s="128" t="s">
        <v>833</v>
      </c>
      <c r="H38" s="128" t="s">
        <v>117</v>
      </c>
      <c r="I38" s="128">
        <f>ROUND(2.1*1.1*9,9)</f>
        <v>20.79</v>
      </c>
      <c r="J38" s="128">
        <v>0</v>
      </c>
      <c r="K38" s="128"/>
      <c r="L38" s="128"/>
      <c r="M38" s="128"/>
      <c r="N38" s="128"/>
      <c r="O38" s="128">
        <f t="shared" si="14"/>
        <v>74876</v>
      </c>
      <c r="P38" s="128">
        <f t="shared" si="15"/>
        <v>74876</v>
      </c>
      <c r="Q38" s="128">
        <f t="shared" si="16"/>
        <v>0</v>
      </c>
      <c r="R38" s="128">
        <f t="shared" si="17"/>
        <v>0</v>
      </c>
      <c r="S38" s="128">
        <f t="shared" si="18"/>
        <v>0</v>
      </c>
      <c r="T38" s="128">
        <f t="shared" si="19"/>
        <v>0</v>
      </c>
      <c r="U38" s="128">
        <f t="shared" si="20"/>
        <v>0</v>
      </c>
      <c r="V38" s="128">
        <f t="shared" si="21"/>
        <v>0</v>
      </c>
      <c r="W38" s="128">
        <f t="shared" si="22"/>
        <v>0</v>
      </c>
      <c r="X38" s="128">
        <f t="shared" si="23"/>
        <v>0</v>
      </c>
      <c r="Y38" s="128">
        <f t="shared" si="24"/>
        <v>0</v>
      </c>
      <c r="Z38" s="128"/>
      <c r="AA38" s="128">
        <v>51866573</v>
      </c>
      <c r="AB38" s="128">
        <f t="shared" si="25"/>
        <v>3601.53</v>
      </c>
      <c r="AC38" s="128">
        <f t="shared" si="49"/>
        <v>3601.53</v>
      </c>
      <c r="AD38" s="128">
        <f t="shared" si="50"/>
        <v>0</v>
      </c>
      <c r="AE38" s="128">
        <f t="shared" si="51"/>
        <v>0</v>
      </c>
      <c r="AF38" s="128">
        <f t="shared" si="51"/>
        <v>0</v>
      </c>
      <c r="AG38" s="128">
        <f t="shared" si="27"/>
        <v>0</v>
      </c>
      <c r="AH38" s="128">
        <f t="shared" si="52"/>
        <v>0</v>
      </c>
      <c r="AI38" s="128">
        <f t="shared" si="52"/>
        <v>0</v>
      </c>
      <c r="AJ38" s="128">
        <f t="shared" si="28"/>
        <v>0</v>
      </c>
      <c r="AK38" s="128">
        <v>3601.53</v>
      </c>
      <c r="AL38" s="128">
        <v>3601.53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1</v>
      </c>
      <c r="AW38" s="128">
        <v>1</v>
      </c>
      <c r="AX38" s="128"/>
      <c r="AY38" s="128"/>
      <c r="AZ38" s="128">
        <v>1</v>
      </c>
      <c r="BA38" s="128">
        <v>1</v>
      </c>
      <c r="BB38" s="128">
        <v>1</v>
      </c>
      <c r="BC38" s="128">
        <v>1</v>
      </c>
      <c r="BD38" s="128"/>
      <c r="BE38" s="128"/>
      <c r="BF38" s="128"/>
      <c r="BG38" s="128"/>
      <c r="BH38" s="128">
        <v>3</v>
      </c>
      <c r="BI38" s="128">
        <v>1</v>
      </c>
      <c r="BJ38" s="128" t="s">
        <v>834</v>
      </c>
      <c r="BK38" s="128"/>
      <c r="BL38" s="128"/>
      <c r="BM38" s="128">
        <v>500001</v>
      </c>
      <c r="BN38" s="128">
        <v>0</v>
      </c>
      <c r="BO38" s="128"/>
      <c r="BP38" s="128">
        <v>0</v>
      </c>
      <c r="BQ38" s="128">
        <v>8</v>
      </c>
      <c r="BR38" s="128">
        <v>0</v>
      </c>
      <c r="BS38" s="128">
        <v>1</v>
      </c>
      <c r="BT38" s="128">
        <v>1</v>
      </c>
      <c r="BU38" s="128">
        <v>1</v>
      </c>
      <c r="BV38" s="128">
        <v>1</v>
      </c>
      <c r="BW38" s="128">
        <v>1</v>
      </c>
      <c r="BX38" s="128">
        <v>1</v>
      </c>
      <c r="BY38" s="128"/>
      <c r="BZ38" s="128">
        <v>0</v>
      </c>
      <c r="CA38" s="128">
        <v>0</v>
      </c>
      <c r="CB38" s="128"/>
      <c r="CC38" s="128"/>
      <c r="CD38" s="128"/>
      <c r="CE38" s="128">
        <v>0</v>
      </c>
      <c r="CF38" s="128">
        <v>0</v>
      </c>
      <c r="CG38" s="128">
        <v>0</v>
      </c>
      <c r="CH38" s="128"/>
      <c r="CI38" s="128"/>
      <c r="CJ38" s="128"/>
      <c r="CK38" s="128"/>
      <c r="CL38" s="128"/>
      <c r="CM38" s="128">
        <v>0</v>
      </c>
      <c r="CN38" s="128"/>
      <c r="CO38" s="128">
        <v>0</v>
      </c>
      <c r="CP38" s="128">
        <f t="shared" si="29"/>
        <v>74876</v>
      </c>
      <c r="CQ38" s="128">
        <f t="shared" si="30"/>
        <v>3601.53</v>
      </c>
      <c r="CR38" s="128">
        <f t="shared" si="31"/>
        <v>0</v>
      </c>
      <c r="CS38" s="128">
        <f t="shared" si="32"/>
        <v>0</v>
      </c>
      <c r="CT38" s="128">
        <f t="shared" si="33"/>
        <v>0</v>
      </c>
      <c r="CU38" s="128">
        <f t="shared" si="34"/>
        <v>0</v>
      </c>
      <c r="CV38" s="128">
        <f t="shared" si="35"/>
        <v>0</v>
      </c>
      <c r="CW38" s="128">
        <f t="shared" si="36"/>
        <v>0</v>
      </c>
      <c r="CX38" s="128">
        <f t="shared" si="37"/>
        <v>0</v>
      </c>
      <c r="CY38" s="128">
        <f t="shared" si="38"/>
        <v>0</v>
      </c>
      <c r="CZ38" s="128">
        <f t="shared" si="39"/>
        <v>0</v>
      </c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>
        <v>0</v>
      </c>
      <c r="DO38" s="128">
        <v>0</v>
      </c>
      <c r="DP38" s="128">
        <v>1</v>
      </c>
      <c r="DQ38" s="128">
        <v>1</v>
      </c>
      <c r="DR38" s="128"/>
      <c r="DS38" s="128"/>
      <c r="DT38" s="128"/>
      <c r="DU38" s="128">
        <v>1005</v>
      </c>
      <c r="DV38" s="128" t="s">
        <v>117</v>
      </c>
      <c r="DW38" s="128" t="s">
        <v>117</v>
      </c>
      <c r="DX38" s="128">
        <v>1</v>
      </c>
      <c r="DY38" s="128"/>
      <c r="DZ38" s="128"/>
      <c r="EA38" s="128"/>
      <c r="EB38" s="128"/>
      <c r="EC38" s="128"/>
      <c r="ED38" s="128"/>
      <c r="EE38" s="128">
        <v>49587772</v>
      </c>
      <c r="EF38" s="128">
        <v>8</v>
      </c>
      <c r="EG38" s="128" t="s">
        <v>827</v>
      </c>
      <c r="EH38" s="128">
        <v>0</v>
      </c>
      <c r="EI38" s="128"/>
      <c r="EJ38" s="128">
        <v>1</v>
      </c>
      <c r="EK38" s="128">
        <v>500001</v>
      </c>
      <c r="EL38" s="128" t="s">
        <v>7</v>
      </c>
      <c r="EM38" s="128" t="s">
        <v>828</v>
      </c>
      <c r="EN38" s="128"/>
      <c r="EO38" s="128"/>
      <c r="EP38" s="128"/>
      <c r="EQ38" s="128">
        <v>0</v>
      </c>
      <c r="ER38" s="128">
        <v>3601.53</v>
      </c>
      <c r="ES38" s="128">
        <v>3601.53</v>
      </c>
      <c r="ET38" s="128">
        <v>0</v>
      </c>
      <c r="EU38" s="128">
        <v>0</v>
      </c>
      <c r="EV38" s="128">
        <v>0</v>
      </c>
      <c r="EW38" s="128">
        <v>0</v>
      </c>
      <c r="EX38" s="128">
        <v>0</v>
      </c>
      <c r="EY38" s="128">
        <v>0</v>
      </c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>
        <v>0</v>
      </c>
      <c r="FR38" s="128">
        <f t="shared" si="40"/>
        <v>0</v>
      </c>
      <c r="FS38" s="128">
        <v>0</v>
      </c>
      <c r="FT38" s="128"/>
      <c r="FU38" s="128"/>
      <c r="FV38" s="128"/>
      <c r="FW38" s="128"/>
      <c r="FX38" s="128">
        <v>0</v>
      </c>
      <c r="FY38" s="128">
        <v>0</v>
      </c>
      <c r="FZ38" s="128"/>
      <c r="GA38" s="128"/>
      <c r="GB38" s="128"/>
      <c r="GC38" s="128"/>
      <c r="GD38" s="128">
        <v>1</v>
      </c>
      <c r="GE38" s="128"/>
      <c r="GF38" s="128">
        <v>1948026533</v>
      </c>
      <c r="GG38" s="128">
        <v>2</v>
      </c>
      <c r="GH38" s="128">
        <v>1</v>
      </c>
      <c r="GI38" s="128">
        <v>-2</v>
      </c>
      <c r="GJ38" s="128">
        <v>0</v>
      </c>
      <c r="GK38" s="128">
        <v>0</v>
      </c>
      <c r="GL38" s="128">
        <f t="shared" si="41"/>
        <v>0</v>
      </c>
      <c r="GM38" s="128">
        <f t="shared" si="42"/>
        <v>74876</v>
      </c>
      <c r="GN38" s="128">
        <f t="shared" si="43"/>
        <v>74876</v>
      </c>
      <c r="GO38" s="128">
        <f t="shared" si="44"/>
        <v>0</v>
      </c>
      <c r="GP38" s="128">
        <f t="shared" si="45"/>
        <v>0</v>
      </c>
      <c r="GQ38" s="128"/>
      <c r="GR38" s="128">
        <v>0</v>
      </c>
      <c r="GS38" s="128">
        <v>3</v>
      </c>
      <c r="GT38" s="128">
        <v>0</v>
      </c>
      <c r="GU38" s="128"/>
      <c r="GV38" s="128">
        <f t="shared" si="46"/>
        <v>0</v>
      </c>
      <c r="GW38" s="128">
        <v>1</v>
      </c>
      <c r="GX38" s="128">
        <f t="shared" si="47"/>
        <v>0</v>
      </c>
      <c r="GY38" s="128"/>
      <c r="GZ38" s="128"/>
      <c r="HA38" s="128">
        <v>0</v>
      </c>
      <c r="HB38" s="128">
        <v>0</v>
      </c>
      <c r="HC38" s="128">
        <f t="shared" si="48"/>
        <v>0</v>
      </c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>
        <v>0</v>
      </c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</row>
    <row r="39" spans="1:255" x14ac:dyDescent="0.2">
      <c r="A39">
        <v>17</v>
      </c>
      <c r="B39">
        <v>1</v>
      </c>
      <c r="E39" t="s">
        <v>115</v>
      </c>
      <c r="F39" t="s">
        <v>832</v>
      </c>
      <c r="G39" t="s">
        <v>833</v>
      </c>
      <c r="H39" t="s">
        <v>117</v>
      </c>
      <c r="I39">
        <f>ROUND(2.1*1.1*9,9)</f>
        <v>20.79</v>
      </c>
      <c r="J39">
        <v>0</v>
      </c>
      <c r="O39">
        <f t="shared" si="14"/>
        <v>83448</v>
      </c>
      <c r="P39">
        <f t="shared" si="15"/>
        <v>83448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51866571</v>
      </c>
      <c r="AB39">
        <f t="shared" si="25"/>
        <v>4013.85</v>
      </c>
      <c r="AC39">
        <f t="shared" si="49"/>
        <v>4013.85</v>
      </c>
      <c r="AD39">
        <f t="shared" si="50"/>
        <v>0</v>
      </c>
      <c r="AE39">
        <f t="shared" si="51"/>
        <v>0</v>
      </c>
      <c r="AF39">
        <f t="shared" si="51"/>
        <v>0</v>
      </c>
      <c r="AG39">
        <f t="shared" si="27"/>
        <v>0</v>
      </c>
      <c r="AH39">
        <f t="shared" si="52"/>
        <v>0</v>
      </c>
      <c r="AI39">
        <f t="shared" si="52"/>
        <v>0</v>
      </c>
      <c r="AJ39">
        <f t="shared" si="28"/>
        <v>0</v>
      </c>
      <c r="AK39">
        <v>4013.85</v>
      </c>
      <c r="AL39">
        <v>4013.85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H39">
        <v>3</v>
      </c>
      <c r="BI39">
        <v>1</v>
      </c>
      <c r="BJ39" t="s">
        <v>834</v>
      </c>
      <c r="BM39">
        <v>500001</v>
      </c>
      <c r="BN39">
        <v>0</v>
      </c>
      <c r="BP39">
        <v>0</v>
      </c>
      <c r="BQ39">
        <v>8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Z39">
        <v>0</v>
      </c>
      <c r="CA39">
        <v>0</v>
      </c>
      <c r="CE39">
        <v>0</v>
      </c>
      <c r="CF39">
        <v>0</v>
      </c>
      <c r="CG39">
        <v>0</v>
      </c>
      <c r="CM39">
        <v>0</v>
      </c>
      <c r="CO39">
        <v>0</v>
      </c>
      <c r="CP39">
        <f t="shared" si="29"/>
        <v>83448</v>
      </c>
      <c r="CQ39">
        <f t="shared" si="30"/>
        <v>4013.85</v>
      </c>
      <c r="CR39">
        <f t="shared" si="31"/>
        <v>0</v>
      </c>
      <c r="CS39">
        <f t="shared" si="32"/>
        <v>0</v>
      </c>
      <c r="CT39">
        <f t="shared" si="33"/>
        <v>0</v>
      </c>
      <c r="CU39">
        <f t="shared" si="34"/>
        <v>0</v>
      </c>
      <c r="CV39">
        <f t="shared" si="35"/>
        <v>0</v>
      </c>
      <c r="CW39">
        <f t="shared" si="36"/>
        <v>0</v>
      </c>
      <c r="CX39">
        <f t="shared" si="37"/>
        <v>0</v>
      </c>
      <c r="CY39">
        <f t="shared" si="38"/>
        <v>0</v>
      </c>
      <c r="CZ39">
        <f t="shared" si="39"/>
        <v>0</v>
      </c>
      <c r="DN39">
        <v>0</v>
      </c>
      <c r="DO39">
        <v>0</v>
      </c>
      <c r="DP39">
        <v>1</v>
      </c>
      <c r="DQ39">
        <v>1</v>
      </c>
      <c r="DU39">
        <v>1005</v>
      </c>
      <c r="DV39" t="s">
        <v>117</v>
      </c>
      <c r="DW39" t="s">
        <v>117</v>
      </c>
      <c r="DX39">
        <v>1</v>
      </c>
      <c r="EE39">
        <v>49587772</v>
      </c>
      <c r="EF39">
        <v>8</v>
      </c>
      <c r="EG39" t="s">
        <v>827</v>
      </c>
      <c r="EH39">
        <v>0</v>
      </c>
      <c r="EJ39">
        <v>1</v>
      </c>
      <c r="EK39">
        <v>500001</v>
      </c>
      <c r="EL39" t="s">
        <v>7</v>
      </c>
      <c r="EM39" t="s">
        <v>828</v>
      </c>
      <c r="EQ39">
        <v>0</v>
      </c>
      <c r="ER39">
        <v>4013.85</v>
      </c>
      <c r="ES39">
        <v>4013.85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FQ39">
        <v>0</v>
      </c>
      <c r="FR39">
        <f t="shared" si="40"/>
        <v>0</v>
      </c>
      <c r="FS39">
        <v>0</v>
      </c>
      <c r="FX39">
        <v>0</v>
      </c>
      <c r="FY39">
        <v>0</v>
      </c>
      <c r="GD39">
        <v>1</v>
      </c>
      <c r="GE39">
        <v>3601.53</v>
      </c>
      <c r="GF39">
        <v>1948026533</v>
      </c>
      <c r="GG39">
        <v>2</v>
      </c>
      <c r="GH39">
        <v>1</v>
      </c>
      <c r="GI39">
        <v>-2</v>
      </c>
      <c r="GJ39">
        <v>0</v>
      </c>
      <c r="GK39">
        <v>0</v>
      </c>
      <c r="GL39">
        <f t="shared" si="41"/>
        <v>0</v>
      </c>
      <c r="GM39">
        <f t="shared" si="42"/>
        <v>83448</v>
      </c>
      <c r="GN39">
        <f t="shared" si="43"/>
        <v>83448</v>
      </c>
      <c r="GO39">
        <f t="shared" si="44"/>
        <v>0</v>
      </c>
      <c r="GP39">
        <f t="shared" si="45"/>
        <v>0</v>
      </c>
      <c r="GR39">
        <v>3</v>
      </c>
      <c r="GS39">
        <v>3</v>
      </c>
      <c r="GT39">
        <v>0</v>
      </c>
      <c r="GV39">
        <f t="shared" si="46"/>
        <v>0</v>
      </c>
      <c r="GW39">
        <v>1</v>
      </c>
      <c r="GX39">
        <f t="shared" si="47"/>
        <v>0</v>
      </c>
      <c r="HA39">
        <v>0</v>
      </c>
      <c r="HB39">
        <v>0</v>
      </c>
      <c r="HC39">
        <f t="shared" si="48"/>
        <v>0</v>
      </c>
      <c r="IK39">
        <v>0</v>
      </c>
    </row>
    <row r="40" spans="1:255" x14ac:dyDescent="0.2">
      <c r="A40" s="128">
        <v>17</v>
      </c>
      <c r="B40" s="128">
        <v>1</v>
      </c>
      <c r="C40" s="128">
        <f>ROW(SmtRes!A63)</f>
        <v>63</v>
      </c>
      <c r="D40" s="128">
        <f>ROW(EtalonRes!A66)</f>
        <v>66</v>
      </c>
      <c r="E40" s="128" t="s">
        <v>116</v>
      </c>
      <c r="F40" s="128" t="s">
        <v>835</v>
      </c>
      <c r="G40" s="128" t="s">
        <v>836</v>
      </c>
      <c r="H40" s="128" t="s">
        <v>837</v>
      </c>
      <c r="I40" s="128">
        <f>ROUND(27/100,9)</f>
        <v>0.27</v>
      </c>
      <c r="J40" s="128">
        <v>0</v>
      </c>
      <c r="K40" s="128"/>
      <c r="L40" s="128"/>
      <c r="M40" s="128"/>
      <c r="N40" s="128"/>
      <c r="O40" s="128">
        <f t="shared" si="14"/>
        <v>119</v>
      </c>
      <c r="P40" s="128">
        <f t="shared" si="15"/>
        <v>0</v>
      </c>
      <c r="Q40" s="128">
        <f t="shared" si="16"/>
        <v>6</v>
      </c>
      <c r="R40" s="128">
        <f t="shared" si="17"/>
        <v>0</v>
      </c>
      <c r="S40" s="128">
        <f t="shared" si="18"/>
        <v>113</v>
      </c>
      <c r="T40" s="128">
        <f t="shared" si="19"/>
        <v>0</v>
      </c>
      <c r="U40" s="128">
        <f t="shared" si="20"/>
        <v>13.81725</v>
      </c>
      <c r="V40" s="128">
        <f t="shared" si="21"/>
        <v>0</v>
      </c>
      <c r="W40" s="128">
        <f t="shared" si="22"/>
        <v>0</v>
      </c>
      <c r="X40" s="128">
        <f t="shared" si="23"/>
        <v>120</v>
      </c>
      <c r="Y40" s="128">
        <f t="shared" si="24"/>
        <v>61</v>
      </c>
      <c r="Z40" s="128"/>
      <c r="AA40" s="128">
        <v>51866573</v>
      </c>
      <c r="AB40" s="128">
        <f t="shared" si="25"/>
        <v>440.93074999999999</v>
      </c>
      <c r="AC40" s="128">
        <f>ROUND((0),6)</f>
        <v>0</v>
      </c>
      <c r="AD40" s="128">
        <f>ROUND((((SUM(SmtRes!BR61:BR63))-(SUM(SmtRes!BS61:BS63)))+AE40),6)</f>
        <v>22.831</v>
      </c>
      <c r="AE40" s="128">
        <f>ROUND((SUM(SmtRes!BS61:BS63)),6)</f>
        <v>1.681875</v>
      </c>
      <c r="AF40" s="128">
        <f>ROUND((SUM(SmtRes!BT61:BT63)),6)</f>
        <v>418.09974999999997</v>
      </c>
      <c r="AG40" s="128">
        <f t="shared" si="27"/>
        <v>0</v>
      </c>
      <c r="AH40" s="128">
        <f>(SUM(SmtRes!BU61:BU63))</f>
        <v>51.174999999999997</v>
      </c>
      <c r="AI40" s="128">
        <f>(0)</f>
        <v>0</v>
      </c>
      <c r="AJ40" s="128">
        <f t="shared" si="28"/>
        <v>0</v>
      </c>
      <c r="AK40" s="128">
        <v>381.82979999999998</v>
      </c>
      <c r="AL40" s="128">
        <v>0</v>
      </c>
      <c r="AM40" s="128">
        <v>18.264800000000001</v>
      </c>
      <c r="AN40" s="128">
        <v>1.3454999999999999</v>
      </c>
      <c r="AO40" s="128">
        <v>363.565</v>
      </c>
      <c r="AP40" s="128">
        <v>0</v>
      </c>
      <c r="AQ40" s="128">
        <v>44.5</v>
      </c>
      <c r="AR40" s="128">
        <v>0</v>
      </c>
      <c r="AS40" s="128">
        <v>0</v>
      </c>
      <c r="AT40" s="128">
        <v>106</v>
      </c>
      <c r="AU40" s="128">
        <v>54</v>
      </c>
      <c r="AV40" s="128">
        <v>1</v>
      </c>
      <c r="AW40" s="128">
        <v>1</v>
      </c>
      <c r="AX40" s="128"/>
      <c r="AY40" s="128"/>
      <c r="AZ40" s="128">
        <v>1</v>
      </c>
      <c r="BA40" s="128">
        <v>1</v>
      </c>
      <c r="BB40" s="128">
        <v>1</v>
      </c>
      <c r="BC40" s="128">
        <v>1</v>
      </c>
      <c r="BD40" s="128"/>
      <c r="BE40" s="128"/>
      <c r="BF40" s="128"/>
      <c r="BG40" s="128"/>
      <c r="BH40" s="128">
        <v>0</v>
      </c>
      <c r="BI40" s="128">
        <v>1</v>
      </c>
      <c r="BJ40" s="128" t="s">
        <v>838</v>
      </c>
      <c r="BK40" s="128"/>
      <c r="BL40" s="128"/>
      <c r="BM40" s="128">
        <v>10001</v>
      </c>
      <c r="BN40" s="128">
        <v>0</v>
      </c>
      <c r="BO40" s="128"/>
      <c r="BP40" s="128">
        <v>0</v>
      </c>
      <c r="BQ40" s="128">
        <v>2</v>
      </c>
      <c r="BR40" s="128">
        <v>0</v>
      </c>
      <c r="BS40" s="128">
        <v>1</v>
      </c>
      <c r="BT40" s="128">
        <v>1</v>
      </c>
      <c r="BU40" s="128">
        <v>1</v>
      </c>
      <c r="BV40" s="128">
        <v>1</v>
      </c>
      <c r="BW40" s="128">
        <v>1</v>
      </c>
      <c r="BX40" s="128">
        <v>1</v>
      </c>
      <c r="BY40" s="128"/>
      <c r="BZ40" s="128">
        <v>118</v>
      </c>
      <c r="CA40" s="128">
        <v>63</v>
      </c>
      <c r="CB40" s="128"/>
      <c r="CC40" s="128"/>
      <c r="CD40" s="128"/>
      <c r="CE40" s="128">
        <v>0</v>
      </c>
      <c r="CF40" s="128">
        <v>0</v>
      </c>
      <c r="CG40" s="128">
        <v>0</v>
      </c>
      <c r="CH40" s="128"/>
      <c r="CI40" s="128"/>
      <c r="CJ40" s="128"/>
      <c r="CK40" s="128"/>
      <c r="CL40" s="128"/>
      <c r="CM40" s="128">
        <v>0</v>
      </c>
      <c r="CN40" s="128" t="s">
        <v>819</v>
      </c>
      <c r="CO40" s="128">
        <v>0</v>
      </c>
      <c r="CP40" s="128">
        <f t="shared" si="29"/>
        <v>119</v>
      </c>
      <c r="CQ40" s="128">
        <f t="shared" si="30"/>
        <v>0</v>
      </c>
      <c r="CR40" s="128">
        <f t="shared" si="31"/>
        <v>22.831</v>
      </c>
      <c r="CS40" s="128">
        <f t="shared" si="32"/>
        <v>1.681875</v>
      </c>
      <c r="CT40" s="128">
        <f t="shared" si="33"/>
        <v>418.09974999999997</v>
      </c>
      <c r="CU40" s="128">
        <f t="shared" si="34"/>
        <v>0</v>
      </c>
      <c r="CV40" s="128">
        <f t="shared" si="35"/>
        <v>51.174999999999997</v>
      </c>
      <c r="CW40" s="128">
        <f t="shared" si="36"/>
        <v>0</v>
      </c>
      <c r="CX40" s="128">
        <f t="shared" si="37"/>
        <v>0</v>
      </c>
      <c r="CY40" s="128">
        <f t="shared" si="38"/>
        <v>119.78</v>
      </c>
      <c r="CZ40" s="128">
        <f t="shared" si="39"/>
        <v>61.02</v>
      </c>
      <c r="DA40" s="128"/>
      <c r="DB40" s="128"/>
      <c r="DC40" s="128"/>
      <c r="DD40" s="128"/>
      <c r="DE40" s="128" t="s">
        <v>820</v>
      </c>
      <c r="DF40" s="128" t="s">
        <v>820</v>
      </c>
      <c r="DG40" s="128" t="s">
        <v>821</v>
      </c>
      <c r="DH40" s="128"/>
      <c r="DI40" s="128" t="s">
        <v>821</v>
      </c>
      <c r="DJ40" s="128" t="s">
        <v>820</v>
      </c>
      <c r="DK40" s="128"/>
      <c r="DL40" s="128"/>
      <c r="DM40" s="128"/>
      <c r="DN40" s="128">
        <v>0</v>
      </c>
      <c r="DO40" s="128">
        <v>0</v>
      </c>
      <c r="DP40" s="128">
        <v>1</v>
      </c>
      <c r="DQ40" s="128">
        <v>1</v>
      </c>
      <c r="DR40" s="128"/>
      <c r="DS40" s="128"/>
      <c r="DT40" s="128"/>
      <c r="DU40" s="128">
        <v>1013</v>
      </c>
      <c r="DV40" s="128" t="s">
        <v>837</v>
      </c>
      <c r="DW40" s="128" t="s">
        <v>837</v>
      </c>
      <c r="DX40" s="128">
        <v>1</v>
      </c>
      <c r="DY40" s="128"/>
      <c r="DZ40" s="128"/>
      <c r="EA40" s="128"/>
      <c r="EB40" s="128"/>
      <c r="EC40" s="128"/>
      <c r="ED40" s="128"/>
      <c r="EE40" s="128">
        <v>49587839</v>
      </c>
      <c r="EF40" s="128">
        <v>2</v>
      </c>
      <c r="EG40" s="128" t="s">
        <v>709</v>
      </c>
      <c r="EH40" s="128">
        <v>0</v>
      </c>
      <c r="EI40" s="128"/>
      <c r="EJ40" s="128">
        <v>1</v>
      </c>
      <c r="EK40" s="128">
        <v>10001</v>
      </c>
      <c r="EL40" s="128" t="s">
        <v>0</v>
      </c>
      <c r="EM40" s="128" t="s">
        <v>822</v>
      </c>
      <c r="EN40" s="128"/>
      <c r="EO40" s="128" t="s">
        <v>823</v>
      </c>
      <c r="EP40" s="128"/>
      <c r="EQ40" s="128">
        <v>0</v>
      </c>
      <c r="ER40" s="128">
        <v>9849.83</v>
      </c>
      <c r="ES40" s="128">
        <v>9468</v>
      </c>
      <c r="ET40" s="128">
        <v>18.260000000000002</v>
      </c>
      <c r="EU40" s="128">
        <v>0</v>
      </c>
      <c r="EV40" s="128">
        <v>363.57</v>
      </c>
      <c r="EW40" s="128">
        <v>44.5</v>
      </c>
      <c r="EX40" s="128">
        <v>0</v>
      </c>
      <c r="EY40" s="128">
        <v>0</v>
      </c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>
        <v>0</v>
      </c>
      <c r="FR40" s="128">
        <f t="shared" si="40"/>
        <v>0</v>
      </c>
      <c r="FS40" s="128">
        <v>0</v>
      </c>
      <c r="FT40" s="128" t="s">
        <v>1</v>
      </c>
      <c r="FU40" s="128" t="s">
        <v>2</v>
      </c>
      <c r="FV40" s="128"/>
      <c r="FW40" s="128"/>
      <c r="FX40" s="128">
        <v>106.2</v>
      </c>
      <c r="FY40" s="128">
        <v>53.55</v>
      </c>
      <c r="FZ40" s="128"/>
      <c r="GA40" s="128"/>
      <c r="GB40" s="128"/>
      <c r="GC40" s="128"/>
      <c r="GD40" s="128">
        <v>1</v>
      </c>
      <c r="GE40" s="128"/>
      <c r="GF40" s="128">
        <v>1993014361</v>
      </c>
      <c r="GG40" s="128">
        <v>2</v>
      </c>
      <c r="GH40" s="128">
        <v>1</v>
      </c>
      <c r="GI40" s="128">
        <v>-2</v>
      </c>
      <c r="GJ40" s="128">
        <v>0</v>
      </c>
      <c r="GK40" s="128">
        <v>0</v>
      </c>
      <c r="GL40" s="128">
        <f t="shared" si="41"/>
        <v>0</v>
      </c>
      <c r="GM40" s="128">
        <f t="shared" si="42"/>
        <v>300</v>
      </c>
      <c r="GN40" s="128">
        <f t="shared" si="43"/>
        <v>300</v>
      </c>
      <c r="GO40" s="128">
        <f t="shared" si="44"/>
        <v>0</v>
      </c>
      <c r="GP40" s="128">
        <f t="shared" si="45"/>
        <v>0</v>
      </c>
      <c r="GQ40" s="128"/>
      <c r="GR40" s="128">
        <v>0</v>
      </c>
      <c r="GS40" s="128">
        <v>3</v>
      </c>
      <c r="GT40" s="128">
        <v>0</v>
      </c>
      <c r="GU40" s="128"/>
      <c r="GV40" s="128">
        <f t="shared" si="46"/>
        <v>0</v>
      </c>
      <c r="GW40" s="128">
        <v>1</v>
      </c>
      <c r="GX40" s="128">
        <f t="shared" si="47"/>
        <v>0</v>
      </c>
      <c r="GY40" s="128"/>
      <c r="GZ40" s="128"/>
      <c r="HA40" s="128">
        <v>0</v>
      </c>
      <c r="HB40" s="128">
        <v>0</v>
      </c>
      <c r="HC40" s="128">
        <f t="shared" si="48"/>
        <v>0</v>
      </c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>
        <v>0</v>
      </c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</row>
    <row r="41" spans="1:255" x14ac:dyDescent="0.2">
      <c r="A41">
        <v>17</v>
      </c>
      <c r="B41">
        <v>1</v>
      </c>
      <c r="C41">
        <f>ROW(SmtRes!A66)</f>
        <v>66</v>
      </c>
      <c r="D41">
        <f>ROW(EtalonRes!A70)</f>
        <v>70</v>
      </c>
      <c r="E41" t="s">
        <v>116</v>
      </c>
      <c r="F41" t="s">
        <v>835</v>
      </c>
      <c r="G41" t="s">
        <v>836</v>
      </c>
      <c r="H41" t="s">
        <v>837</v>
      </c>
      <c r="I41">
        <f>ROUND(27/100,9)</f>
        <v>0.27</v>
      </c>
      <c r="J41">
        <v>0</v>
      </c>
      <c r="O41">
        <f t="shared" si="14"/>
        <v>2276</v>
      </c>
      <c r="P41">
        <f t="shared" si="15"/>
        <v>0</v>
      </c>
      <c r="Q41">
        <f t="shared" si="16"/>
        <v>47</v>
      </c>
      <c r="R41">
        <f t="shared" si="17"/>
        <v>9</v>
      </c>
      <c r="S41">
        <f t="shared" si="18"/>
        <v>2229</v>
      </c>
      <c r="T41">
        <f t="shared" si="19"/>
        <v>0</v>
      </c>
      <c r="U41">
        <f t="shared" si="20"/>
        <v>13.81725</v>
      </c>
      <c r="V41">
        <f t="shared" si="21"/>
        <v>0</v>
      </c>
      <c r="W41">
        <f t="shared" si="22"/>
        <v>0</v>
      </c>
      <c r="X41">
        <f t="shared" si="23"/>
        <v>2372</v>
      </c>
      <c r="Y41">
        <f t="shared" si="24"/>
        <v>1209</v>
      </c>
      <c r="AA41">
        <v>51866571</v>
      </c>
      <c r="AB41">
        <f t="shared" si="25"/>
        <v>8432.2999999999993</v>
      </c>
      <c r="AC41">
        <f>ROUND((0),6)</f>
        <v>0</v>
      </c>
      <c r="AD41">
        <f>ROUND((((SUM(SmtRes!BR64:BR66))-(SUM(SmtRes!BS64:BS66)))+AE41),6)</f>
        <v>175.72550000000001</v>
      </c>
      <c r="AE41">
        <f>ROUND((SUM(SmtRes!BS64:BS66)),6)</f>
        <v>33.234499999999997</v>
      </c>
      <c r="AF41">
        <f>ROUND((SUM(SmtRes!BT64:BT66)),6)</f>
        <v>8256.5745000000006</v>
      </c>
      <c r="AG41">
        <f t="shared" si="27"/>
        <v>0</v>
      </c>
      <c r="AH41">
        <f>(SUM(SmtRes!BU64:BU66))</f>
        <v>51.174999999999997</v>
      </c>
      <c r="AI41">
        <f>(0)</f>
        <v>0</v>
      </c>
      <c r="AJ41">
        <f t="shared" si="28"/>
        <v>0</v>
      </c>
      <c r="AK41">
        <v>7320.2103999999999</v>
      </c>
      <c r="AL41">
        <v>0</v>
      </c>
      <c r="AM41">
        <v>140.5804</v>
      </c>
      <c r="AN41">
        <v>26.587599999999998</v>
      </c>
      <c r="AO41">
        <v>7179.63</v>
      </c>
      <c r="AP41">
        <v>0</v>
      </c>
      <c r="AQ41">
        <v>44.5</v>
      </c>
      <c r="AR41">
        <v>0</v>
      </c>
      <c r="AS41">
        <v>0</v>
      </c>
      <c r="AT41">
        <v>106</v>
      </c>
      <c r="AU41">
        <v>54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H41">
        <v>0</v>
      </c>
      <c r="BI41">
        <v>1</v>
      </c>
      <c r="BJ41" t="s">
        <v>838</v>
      </c>
      <c r="BM41">
        <v>10001</v>
      </c>
      <c r="BN41">
        <v>0</v>
      </c>
      <c r="BP41">
        <v>0</v>
      </c>
      <c r="BQ41">
        <v>2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Z41">
        <v>118</v>
      </c>
      <c r="CA41">
        <v>63</v>
      </c>
      <c r="CE41">
        <v>0</v>
      </c>
      <c r="CF41">
        <v>0</v>
      </c>
      <c r="CG41">
        <v>0</v>
      </c>
      <c r="CM41">
        <v>0</v>
      </c>
      <c r="CN41" t="s">
        <v>819</v>
      </c>
      <c r="CO41">
        <v>0</v>
      </c>
      <c r="CP41">
        <f t="shared" si="29"/>
        <v>2276</v>
      </c>
      <c r="CQ41">
        <f t="shared" si="30"/>
        <v>0</v>
      </c>
      <c r="CR41">
        <f t="shared" si="31"/>
        <v>175.72550000000001</v>
      </c>
      <c r="CS41">
        <f t="shared" si="32"/>
        <v>33.234499999999997</v>
      </c>
      <c r="CT41">
        <f t="shared" si="33"/>
        <v>8256.5745000000006</v>
      </c>
      <c r="CU41">
        <f t="shared" si="34"/>
        <v>0</v>
      </c>
      <c r="CV41">
        <f t="shared" si="35"/>
        <v>51.174999999999997</v>
      </c>
      <c r="CW41">
        <f t="shared" si="36"/>
        <v>0</v>
      </c>
      <c r="CX41">
        <f t="shared" si="37"/>
        <v>0</v>
      </c>
      <c r="CY41">
        <f t="shared" si="38"/>
        <v>2372.2800000000002</v>
      </c>
      <c r="CZ41">
        <f t="shared" si="39"/>
        <v>1208.52</v>
      </c>
      <c r="DE41" t="s">
        <v>820</v>
      </c>
      <c r="DF41" t="s">
        <v>820</v>
      </c>
      <c r="DG41" t="s">
        <v>821</v>
      </c>
      <c r="DI41" t="s">
        <v>821</v>
      </c>
      <c r="DJ41" t="s">
        <v>820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837</v>
      </c>
      <c r="DW41" t="s">
        <v>837</v>
      </c>
      <c r="DX41">
        <v>1</v>
      </c>
      <c r="EE41">
        <v>49587839</v>
      </c>
      <c r="EF41">
        <v>2</v>
      </c>
      <c r="EG41" t="s">
        <v>709</v>
      </c>
      <c r="EH41">
        <v>0</v>
      </c>
      <c r="EJ41">
        <v>1</v>
      </c>
      <c r="EK41">
        <v>10001</v>
      </c>
      <c r="EL41" t="s">
        <v>0</v>
      </c>
      <c r="EM41" t="s">
        <v>822</v>
      </c>
      <c r="EO41" t="s">
        <v>823</v>
      </c>
      <c r="EQ41">
        <v>0</v>
      </c>
      <c r="ER41">
        <v>9849.83</v>
      </c>
      <c r="ES41">
        <v>9468</v>
      </c>
      <c r="ET41">
        <v>18.260000000000002</v>
      </c>
      <c r="EU41">
        <v>0</v>
      </c>
      <c r="EV41">
        <v>363.57</v>
      </c>
      <c r="EW41">
        <v>44.5</v>
      </c>
      <c r="EX41">
        <v>0</v>
      </c>
      <c r="EY41">
        <v>0</v>
      </c>
      <c r="FQ41">
        <v>0</v>
      </c>
      <c r="FR41">
        <f t="shared" si="40"/>
        <v>0</v>
      </c>
      <c r="FS41">
        <v>0</v>
      </c>
      <c r="FT41" t="s">
        <v>1</v>
      </c>
      <c r="FU41" t="s">
        <v>2</v>
      </c>
      <c r="FX41">
        <v>106.2</v>
      </c>
      <c r="FY41">
        <v>53.55</v>
      </c>
      <c r="GD41">
        <v>1</v>
      </c>
      <c r="GF41">
        <v>1993014361</v>
      </c>
      <c r="GG41">
        <v>2</v>
      </c>
      <c r="GH41">
        <v>1</v>
      </c>
      <c r="GI41">
        <v>-2</v>
      </c>
      <c r="GJ41">
        <v>0</v>
      </c>
      <c r="GK41">
        <v>0</v>
      </c>
      <c r="GL41">
        <f t="shared" si="41"/>
        <v>0</v>
      </c>
      <c r="GM41">
        <f t="shared" si="42"/>
        <v>5857</v>
      </c>
      <c r="GN41">
        <f t="shared" si="43"/>
        <v>5857</v>
      </c>
      <c r="GO41">
        <f t="shared" si="44"/>
        <v>0</v>
      </c>
      <c r="GP41">
        <f t="shared" si="45"/>
        <v>0</v>
      </c>
      <c r="GR41">
        <v>0</v>
      </c>
      <c r="GS41">
        <v>3</v>
      </c>
      <c r="GT41">
        <v>0</v>
      </c>
      <c r="GV41">
        <f t="shared" si="46"/>
        <v>0</v>
      </c>
      <c r="GW41">
        <v>1</v>
      </c>
      <c r="GX41">
        <f t="shared" si="47"/>
        <v>0</v>
      </c>
      <c r="HA41">
        <v>0</v>
      </c>
      <c r="HB41">
        <v>0</v>
      </c>
      <c r="HC41">
        <f t="shared" si="48"/>
        <v>0</v>
      </c>
      <c r="IK41">
        <v>0</v>
      </c>
    </row>
    <row r="42" spans="1:255" x14ac:dyDescent="0.2">
      <c r="A42" s="128">
        <v>17</v>
      </c>
      <c r="B42" s="128">
        <v>1</v>
      </c>
      <c r="C42" s="128"/>
      <c r="D42" s="128"/>
      <c r="E42" s="128" t="s">
        <v>118</v>
      </c>
      <c r="F42" s="128" t="s">
        <v>839</v>
      </c>
      <c r="G42" s="128" t="s">
        <v>840</v>
      </c>
      <c r="H42" s="128" t="s">
        <v>841</v>
      </c>
      <c r="I42" s="128">
        <v>27</v>
      </c>
      <c r="J42" s="128">
        <v>0</v>
      </c>
      <c r="K42" s="128"/>
      <c r="L42" s="128"/>
      <c r="M42" s="128"/>
      <c r="N42" s="128"/>
      <c r="O42" s="128">
        <f t="shared" si="14"/>
        <v>224</v>
      </c>
      <c r="P42" s="128">
        <f t="shared" si="15"/>
        <v>224</v>
      </c>
      <c r="Q42" s="128">
        <f t="shared" si="16"/>
        <v>0</v>
      </c>
      <c r="R42" s="128">
        <f t="shared" si="17"/>
        <v>0</v>
      </c>
      <c r="S42" s="128">
        <f t="shared" si="18"/>
        <v>0</v>
      </c>
      <c r="T42" s="128">
        <f t="shared" si="19"/>
        <v>0</v>
      </c>
      <c r="U42" s="128">
        <f t="shared" si="20"/>
        <v>0</v>
      </c>
      <c r="V42" s="128">
        <f t="shared" si="21"/>
        <v>0</v>
      </c>
      <c r="W42" s="128">
        <f t="shared" si="22"/>
        <v>0</v>
      </c>
      <c r="X42" s="128">
        <f t="shared" si="23"/>
        <v>0</v>
      </c>
      <c r="Y42" s="128">
        <f t="shared" si="24"/>
        <v>0</v>
      </c>
      <c r="Z42" s="128"/>
      <c r="AA42" s="128">
        <v>51866573</v>
      </c>
      <c r="AB42" s="128">
        <f t="shared" si="25"/>
        <v>8.3000000000000007</v>
      </c>
      <c r="AC42" s="128">
        <f>ROUND((ES42),6)</f>
        <v>8.3000000000000007</v>
      </c>
      <c r="AD42" s="128">
        <f>ROUND((((ET42)-(EU42))+AE42),6)</f>
        <v>0</v>
      </c>
      <c r="AE42" s="128">
        <f>ROUND((EU42),6)</f>
        <v>0</v>
      </c>
      <c r="AF42" s="128">
        <f>ROUND((EV42),6)</f>
        <v>0</v>
      </c>
      <c r="AG42" s="128">
        <f t="shared" si="27"/>
        <v>0</v>
      </c>
      <c r="AH42" s="128">
        <f>(EW42)</f>
        <v>0</v>
      </c>
      <c r="AI42" s="128">
        <f>(EX42)</f>
        <v>0</v>
      </c>
      <c r="AJ42" s="128">
        <f t="shared" si="28"/>
        <v>0</v>
      </c>
      <c r="AK42" s="128">
        <v>8.3000000000000007</v>
      </c>
      <c r="AL42" s="128">
        <v>8.3000000000000007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1</v>
      </c>
      <c r="AW42" s="128">
        <v>1</v>
      </c>
      <c r="AX42" s="128"/>
      <c r="AY42" s="128"/>
      <c r="AZ42" s="128">
        <v>1</v>
      </c>
      <c r="BA42" s="128">
        <v>1</v>
      </c>
      <c r="BB42" s="128">
        <v>1</v>
      </c>
      <c r="BC42" s="128">
        <v>1</v>
      </c>
      <c r="BD42" s="128"/>
      <c r="BE42" s="128"/>
      <c r="BF42" s="128"/>
      <c r="BG42" s="128"/>
      <c r="BH42" s="128">
        <v>3</v>
      </c>
      <c r="BI42" s="128">
        <v>1</v>
      </c>
      <c r="BJ42" s="128" t="s">
        <v>842</v>
      </c>
      <c r="BK42" s="128"/>
      <c r="BL42" s="128"/>
      <c r="BM42" s="128">
        <v>500001</v>
      </c>
      <c r="BN42" s="128">
        <v>0</v>
      </c>
      <c r="BO42" s="128"/>
      <c r="BP42" s="128">
        <v>0</v>
      </c>
      <c r="BQ42" s="128">
        <v>8</v>
      </c>
      <c r="BR42" s="128">
        <v>0</v>
      </c>
      <c r="BS42" s="128">
        <v>1</v>
      </c>
      <c r="BT42" s="128">
        <v>1</v>
      </c>
      <c r="BU42" s="128">
        <v>1</v>
      </c>
      <c r="BV42" s="128">
        <v>1</v>
      </c>
      <c r="BW42" s="128">
        <v>1</v>
      </c>
      <c r="BX42" s="128">
        <v>1</v>
      </c>
      <c r="BY42" s="128"/>
      <c r="BZ42" s="128">
        <v>0</v>
      </c>
      <c r="CA42" s="128">
        <v>0</v>
      </c>
      <c r="CB42" s="128"/>
      <c r="CC42" s="128"/>
      <c r="CD42" s="128"/>
      <c r="CE42" s="128">
        <v>0</v>
      </c>
      <c r="CF42" s="128">
        <v>0</v>
      </c>
      <c r="CG42" s="128">
        <v>0</v>
      </c>
      <c r="CH42" s="128"/>
      <c r="CI42" s="128"/>
      <c r="CJ42" s="128"/>
      <c r="CK42" s="128"/>
      <c r="CL42" s="128"/>
      <c r="CM42" s="128">
        <v>0</v>
      </c>
      <c r="CN42" s="128"/>
      <c r="CO42" s="128">
        <v>0</v>
      </c>
      <c r="CP42" s="128">
        <f t="shared" si="29"/>
        <v>224</v>
      </c>
      <c r="CQ42" s="128">
        <f t="shared" si="30"/>
        <v>8.3000000000000007</v>
      </c>
      <c r="CR42" s="128">
        <f t="shared" si="31"/>
        <v>0</v>
      </c>
      <c r="CS42" s="128">
        <f t="shared" si="32"/>
        <v>0</v>
      </c>
      <c r="CT42" s="128">
        <f t="shared" si="33"/>
        <v>0</v>
      </c>
      <c r="CU42" s="128">
        <f t="shared" si="34"/>
        <v>0</v>
      </c>
      <c r="CV42" s="128">
        <f t="shared" si="35"/>
        <v>0</v>
      </c>
      <c r="CW42" s="128">
        <f t="shared" si="36"/>
        <v>0</v>
      </c>
      <c r="CX42" s="128">
        <f t="shared" si="37"/>
        <v>0</v>
      </c>
      <c r="CY42" s="128">
        <f t="shared" si="38"/>
        <v>0</v>
      </c>
      <c r="CZ42" s="128">
        <f t="shared" si="39"/>
        <v>0</v>
      </c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>
        <v>0</v>
      </c>
      <c r="DO42" s="128">
        <v>0</v>
      </c>
      <c r="DP42" s="128">
        <v>1</v>
      </c>
      <c r="DQ42" s="128">
        <v>1</v>
      </c>
      <c r="DR42" s="128"/>
      <c r="DS42" s="128"/>
      <c r="DT42" s="128"/>
      <c r="DU42" s="128">
        <v>1013</v>
      </c>
      <c r="DV42" s="128" t="s">
        <v>841</v>
      </c>
      <c r="DW42" s="128" t="s">
        <v>841</v>
      </c>
      <c r="DX42" s="128">
        <v>1</v>
      </c>
      <c r="DY42" s="128"/>
      <c r="DZ42" s="128"/>
      <c r="EA42" s="128"/>
      <c r="EB42" s="128"/>
      <c r="EC42" s="128"/>
      <c r="ED42" s="128"/>
      <c r="EE42" s="128">
        <v>49587772</v>
      </c>
      <c r="EF42" s="128">
        <v>8</v>
      </c>
      <c r="EG42" s="128" t="s">
        <v>827</v>
      </c>
      <c r="EH42" s="128">
        <v>0</v>
      </c>
      <c r="EI42" s="128"/>
      <c r="EJ42" s="128">
        <v>1</v>
      </c>
      <c r="EK42" s="128">
        <v>500001</v>
      </c>
      <c r="EL42" s="128" t="s">
        <v>7</v>
      </c>
      <c r="EM42" s="128" t="s">
        <v>828</v>
      </c>
      <c r="EN42" s="128"/>
      <c r="EO42" s="128"/>
      <c r="EP42" s="128"/>
      <c r="EQ42" s="128">
        <v>0</v>
      </c>
      <c r="ER42" s="128">
        <v>8.3000000000000007</v>
      </c>
      <c r="ES42" s="128">
        <v>8.3000000000000007</v>
      </c>
      <c r="ET42" s="128">
        <v>0</v>
      </c>
      <c r="EU42" s="128">
        <v>0</v>
      </c>
      <c r="EV42" s="128">
        <v>0</v>
      </c>
      <c r="EW42" s="128">
        <v>0</v>
      </c>
      <c r="EX42" s="128">
        <v>0</v>
      </c>
      <c r="EY42" s="128">
        <v>0</v>
      </c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>
        <v>0</v>
      </c>
      <c r="FR42" s="128">
        <f t="shared" si="40"/>
        <v>0</v>
      </c>
      <c r="FS42" s="128">
        <v>0</v>
      </c>
      <c r="FT42" s="128"/>
      <c r="FU42" s="128"/>
      <c r="FV42" s="128"/>
      <c r="FW42" s="128"/>
      <c r="FX42" s="128">
        <v>0</v>
      </c>
      <c r="FY42" s="128">
        <v>0</v>
      </c>
      <c r="FZ42" s="128"/>
      <c r="GA42" s="128"/>
      <c r="GB42" s="128"/>
      <c r="GC42" s="128"/>
      <c r="GD42" s="128">
        <v>1</v>
      </c>
      <c r="GE42" s="128"/>
      <c r="GF42" s="128">
        <v>45603838</v>
      </c>
      <c r="GG42" s="128">
        <v>2</v>
      </c>
      <c r="GH42" s="128">
        <v>1</v>
      </c>
      <c r="GI42" s="128">
        <v>-2</v>
      </c>
      <c r="GJ42" s="128">
        <v>0</v>
      </c>
      <c r="GK42" s="128">
        <v>0</v>
      </c>
      <c r="GL42" s="128">
        <f t="shared" si="41"/>
        <v>0</v>
      </c>
      <c r="GM42" s="128">
        <f t="shared" si="42"/>
        <v>224</v>
      </c>
      <c r="GN42" s="128">
        <f t="shared" si="43"/>
        <v>224</v>
      </c>
      <c r="GO42" s="128">
        <f t="shared" si="44"/>
        <v>0</v>
      </c>
      <c r="GP42" s="128">
        <f t="shared" si="45"/>
        <v>0</v>
      </c>
      <c r="GQ42" s="128"/>
      <c r="GR42" s="128">
        <v>0</v>
      </c>
      <c r="GS42" s="128">
        <v>3</v>
      </c>
      <c r="GT42" s="128">
        <v>0</v>
      </c>
      <c r="GU42" s="128"/>
      <c r="GV42" s="128">
        <f t="shared" si="46"/>
        <v>0</v>
      </c>
      <c r="GW42" s="128">
        <v>1</v>
      </c>
      <c r="GX42" s="128">
        <f t="shared" si="47"/>
        <v>0</v>
      </c>
      <c r="GY42" s="128"/>
      <c r="GZ42" s="128"/>
      <c r="HA42" s="128">
        <v>0</v>
      </c>
      <c r="HB42" s="128">
        <v>0</v>
      </c>
      <c r="HC42" s="128">
        <f t="shared" si="48"/>
        <v>0</v>
      </c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>
        <v>0</v>
      </c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</row>
    <row r="43" spans="1:255" x14ac:dyDescent="0.2">
      <c r="A43">
        <v>17</v>
      </c>
      <c r="B43">
        <v>1</v>
      </c>
      <c r="E43" t="s">
        <v>118</v>
      </c>
      <c r="F43" t="s">
        <v>839</v>
      </c>
      <c r="G43" t="s">
        <v>840</v>
      </c>
      <c r="H43" t="s">
        <v>841</v>
      </c>
      <c r="I43">
        <v>27</v>
      </c>
      <c r="J43">
        <v>0</v>
      </c>
      <c r="O43">
        <f t="shared" si="14"/>
        <v>944</v>
      </c>
      <c r="P43">
        <f t="shared" si="15"/>
        <v>944</v>
      </c>
      <c r="Q43">
        <f t="shared" si="16"/>
        <v>0</v>
      </c>
      <c r="R43">
        <f t="shared" si="17"/>
        <v>0</v>
      </c>
      <c r="S43">
        <f t="shared" si="18"/>
        <v>0</v>
      </c>
      <c r="T43">
        <f t="shared" si="19"/>
        <v>0</v>
      </c>
      <c r="U43">
        <f t="shared" si="20"/>
        <v>0</v>
      </c>
      <c r="V43">
        <f t="shared" si="21"/>
        <v>0</v>
      </c>
      <c r="W43">
        <f t="shared" si="22"/>
        <v>0</v>
      </c>
      <c r="X43">
        <f t="shared" si="23"/>
        <v>0</v>
      </c>
      <c r="Y43">
        <f t="shared" si="24"/>
        <v>0</v>
      </c>
      <c r="AA43">
        <v>51866571</v>
      </c>
      <c r="AB43">
        <f t="shared" si="25"/>
        <v>34.97</v>
      </c>
      <c r="AC43">
        <f>ROUND((ES43),6)</f>
        <v>34.97</v>
      </c>
      <c r="AD43">
        <f>ROUND((((ET43)-(EU43))+AE43),6)</f>
        <v>0</v>
      </c>
      <c r="AE43">
        <f>ROUND((EU43),6)</f>
        <v>0</v>
      </c>
      <c r="AF43">
        <f>ROUND((EV43),6)</f>
        <v>0</v>
      </c>
      <c r="AG43">
        <f t="shared" si="27"/>
        <v>0</v>
      </c>
      <c r="AH43">
        <f>(EW43)</f>
        <v>0</v>
      </c>
      <c r="AI43">
        <f>(EX43)</f>
        <v>0</v>
      </c>
      <c r="AJ43">
        <f t="shared" si="28"/>
        <v>0</v>
      </c>
      <c r="AK43">
        <v>34.97</v>
      </c>
      <c r="AL43">
        <v>34.97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H43">
        <v>3</v>
      </c>
      <c r="BI43">
        <v>1</v>
      </c>
      <c r="BJ43" t="s">
        <v>842</v>
      </c>
      <c r="BM43">
        <v>500001</v>
      </c>
      <c r="BN43">
        <v>0</v>
      </c>
      <c r="BP43">
        <v>0</v>
      </c>
      <c r="BQ43">
        <v>8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Z43">
        <v>0</v>
      </c>
      <c r="CA43">
        <v>0</v>
      </c>
      <c r="CE43">
        <v>0</v>
      </c>
      <c r="CF43">
        <v>0</v>
      </c>
      <c r="CG43">
        <v>0</v>
      </c>
      <c r="CM43">
        <v>0</v>
      </c>
      <c r="CO43">
        <v>0</v>
      </c>
      <c r="CP43">
        <f t="shared" si="29"/>
        <v>944</v>
      </c>
      <c r="CQ43">
        <f t="shared" si="30"/>
        <v>34.97</v>
      </c>
      <c r="CR43">
        <f t="shared" si="31"/>
        <v>0</v>
      </c>
      <c r="CS43">
        <f t="shared" si="32"/>
        <v>0</v>
      </c>
      <c r="CT43">
        <f t="shared" si="33"/>
        <v>0</v>
      </c>
      <c r="CU43">
        <f t="shared" si="34"/>
        <v>0</v>
      </c>
      <c r="CV43">
        <f t="shared" si="35"/>
        <v>0</v>
      </c>
      <c r="CW43">
        <f t="shared" si="36"/>
        <v>0</v>
      </c>
      <c r="CX43">
        <f t="shared" si="37"/>
        <v>0</v>
      </c>
      <c r="CY43">
        <f t="shared" si="38"/>
        <v>0</v>
      </c>
      <c r="CZ43">
        <f t="shared" si="39"/>
        <v>0</v>
      </c>
      <c r="DN43">
        <v>0</v>
      </c>
      <c r="DO43">
        <v>0</v>
      </c>
      <c r="DP43">
        <v>1</v>
      </c>
      <c r="DQ43">
        <v>1</v>
      </c>
      <c r="DU43">
        <v>1013</v>
      </c>
      <c r="DV43" t="s">
        <v>841</v>
      </c>
      <c r="DW43" t="s">
        <v>841</v>
      </c>
      <c r="DX43">
        <v>1</v>
      </c>
      <c r="EE43">
        <v>49587772</v>
      </c>
      <c r="EF43">
        <v>8</v>
      </c>
      <c r="EG43" t="s">
        <v>827</v>
      </c>
      <c r="EH43">
        <v>0</v>
      </c>
      <c r="EJ43">
        <v>1</v>
      </c>
      <c r="EK43">
        <v>500001</v>
      </c>
      <c r="EL43" t="s">
        <v>7</v>
      </c>
      <c r="EM43" t="s">
        <v>828</v>
      </c>
      <c r="EQ43">
        <v>0</v>
      </c>
      <c r="ER43">
        <v>34.97</v>
      </c>
      <c r="ES43">
        <v>34.97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FQ43">
        <v>0</v>
      </c>
      <c r="FR43">
        <f t="shared" si="40"/>
        <v>0</v>
      </c>
      <c r="FS43">
        <v>0</v>
      </c>
      <c r="FX43">
        <v>0</v>
      </c>
      <c r="FY43">
        <v>0</v>
      </c>
      <c r="GD43">
        <v>1</v>
      </c>
      <c r="GE43">
        <v>8.3000000000000007</v>
      </c>
      <c r="GF43">
        <v>45603838</v>
      </c>
      <c r="GG43">
        <v>2</v>
      </c>
      <c r="GH43">
        <v>1</v>
      </c>
      <c r="GI43">
        <v>-2</v>
      </c>
      <c r="GJ43">
        <v>0</v>
      </c>
      <c r="GK43">
        <v>0</v>
      </c>
      <c r="GL43">
        <f t="shared" si="41"/>
        <v>0</v>
      </c>
      <c r="GM43">
        <f t="shared" si="42"/>
        <v>944</v>
      </c>
      <c r="GN43">
        <f t="shared" si="43"/>
        <v>944</v>
      </c>
      <c r="GO43">
        <f t="shared" si="44"/>
        <v>0</v>
      </c>
      <c r="GP43">
        <f t="shared" si="45"/>
        <v>0</v>
      </c>
      <c r="GR43">
        <v>3</v>
      </c>
      <c r="GS43">
        <v>3</v>
      </c>
      <c r="GT43">
        <v>0</v>
      </c>
      <c r="GV43">
        <f t="shared" si="46"/>
        <v>0</v>
      </c>
      <c r="GW43">
        <v>1</v>
      </c>
      <c r="GX43">
        <f t="shared" si="47"/>
        <v>0</v>
      </c>
      <c r="HA43">
        <v>0</v>
      </c>
      <c r="HB43">
        <v>0</v>
      </c>
      <c r="HC43">
        <f t="shared" si="48"/>
        <v>0</v>
      </c>
      <c r="IK43">
        <v>0</v>
      </c>
    </row>
    <row r="44" spans="1:255" x14ac:dyDescent="0.2">
      <c r="A44" s="128">
        <v>17</v>
      </c>
      <c r="B44" s="128">
        <v>1</v>
      </c>
      <c r="C44" s="128">
        <f>ROW(SmtRes!A72)</f>
        <v>72</v>
      </c>
      <c r="D44" s="128">
        <f>ROW(EtalonRes!A77)</f>
        <v>77</v>
      </c>
      <c r="E44" s="128" t="s">
        <v>119</v>
      </c>
      <c r="F44" s="128" t="s">
        <v>843</v>
      </c>
      <c r="G44" s="128" t="s">
        <v>844</v>
      </c>
      <c r="H44" s="128" t="s">
        <v>845</v>
      </c>
      <c r="I44" s="128">
        <f>ROUND(52.4/100,9)</f>
        <v>0.52400000000000002</v>
      </c>
      <c r="J44" s="128">
        <v>0</v>
      </c>
      <c r="K44" s="128"/>
      <c r="L44" s="128"/>
      <c r="M44" s="128"/>
      <c r="N44" s="128"/>
      <c r="O44" s="128">
        <f t="shared" si="14"/>
        <v>7806</v>
      </c>
      <c r="P44" s="128">
        <f t="shared" si="15"/>
        <v>5782</v>
      </c>
      <c r="Q44" s="128">
        <f t="shared" si="16"/>
        <v>106</v>
      </c>
      <c r="R44" s="128">
        <f t="shared" si="17"/>
        <v>8</v>
      </c>
      <c r="S44" s="128">
        <f t="shared" si="18"/>
        <v>1918</v>
      </c>
      <c r="T44" s="128">
        <f t="shared" si="19"/>
        <v>0</v>
      </c>
      <c r="U44" s="128">
        <f t="shared" si="20"/>
        <v>12.811276000000001</v>
      </c>
      <c r="V44" s="128">
        <f t="shared" si="21"/>
        <v>3.2750000000000001E-2</v>
      </c>
      <c r="W44" s="128">
        <f t="shared" si="22"/>
        <v>0</v>
      </c>
      <c r="X44" s="128">
        <f t="shared" si="23"/>
        <v>2042</v>
      </c>
      <c r="Y44" s="128">
        <f t="shared" si="24"/>
        <v>1040</v>
      </c>
      <c r="Z44" s="128"/>
      <c r="AA44" s="128">
        <v>51866573</v>
      </c>
      <c r="AB44" s="128">
        <f t="shared" si="25"/>
        <v>14896.907195</v>
      </c>
      <c r="AC44" s="128">
        <f>ROUND((SUM(SmtRes!BQ67:BQ72)),6)</f>
        <v>11035.123</v>
      </c>
      <c r="AD44" s="128">
        <f>ROUND((((SUM(SmtRes!BR67:BR72))-(SUM(SmtRes!BS67:BS72)))+AE44),6)</f>
        <v>202.25787500000001</v>
      </c>
      <c r="AE44" s="128">
        <f>ROUND((SUM(SmtRes!BS67:BS72)),6)</f>
        <v>14.34625</v>
      </c>
      <c r="AF44" s="128">
        <f>ROUND((SUM(SmtRes!BT67:BT72)),6)</f>
        <v>3659.5263199999999</v>
      </c>
      <c r="AG44" s="128">
        <f t="shared" si="27"/>
        <v>0</v>
      </c>
      <c r="AH44" s="128">
        <f>(SUM(SmtRes!BU67:BU72))</f>
        <v>24.449000000000002</v>
      </c>
      <c r="AI44" s="128">
        <f>(SUM(SmtRes!BV67:BV72))</f>
        <v>6.25E-2</v>
      </c>
      <c r="AJ44" s="128">
        <f t="shared" si="28"/>
        <v>0</v>
      </c>
      <c r="AK44" s="128">
        <v>14379.126099999999</v>
      </c>
      <c r="AL44" s="128">
        <v>11035.123</v>
      </c>
      <c r="AM44" s="128">
        <v>161.80629999999999</v>
      </c>
      <c r="AN44" s="128">
        <v>11.477</v>
      </c>
      <c r="AO44" s="128">
        <v>3182.1968000000002</v>
      </c>
      <c r="AP44" s="128">
        <v>0</v>
      </c>
      <c r="AQ44" s="128">
        <v>21.26</v>
      </c>
      <c r="AR44" s="128">
        <v>0.05</v>
      </c>
      <c r="AS44" s="128">
        <v>0</v>
      </c>
      <c r="AT44" s="128">
        <v>106</v>
      </c>
      <c r="AU44" s="128">
        <v>54</v>
      </c>
      <c r="AV44" s="128">
        <v>1</v>
      </c>
      <c r="AW44" s="128">
        <v>1</v>
      </c>
      <c r="AX44" s="128"/>
      <c r="AY44" s="128"/>
      <c r="AZ44" s="128">
        <v>1</v>
      </c>
      <c r="BA44" s="128">
        <v>1</v>
      </c>
      <c r="BB44" s="128">
        <v>1</v>
      </c>
      <c r="BC44" s="128">
        <v>1</v>
      </c>
      <c r="BD44" s="128"/>
      <c r="BE44" s="128"/>
      <c r="BF44" s="128"/>
      <c r="BG44" s="128"/>
      <c r="BH44" s="128">
        <v>0</v>
      </c>
      <c r="BI44" s="128">
        <v>1</v>
      </c>
      <c r="BJ44" s="128" t="s">
        <v>846</v>
      </c>
      <c r="BK44" s="128"/>
      <c r="BL44" s="128"/>
      <c r="BM44" s="128">
        <v>10001</v>
      </c>
      <c r="BN44" s="128">
        <v>0</v>
      </c>
      <c r="BO44" s="128"/>
      <c r="BP44" s="128">
        <v>0</v>
      </c>
      <c r="BQ44" s="128">
        <v>2</v>
      </c>
      <c r="BR44" s="128">
        <v>0</v>
      </c>
      <c r="BS44" s="128">
        <v>1</v>
      </c>
      <c r="BT44" s="128">
        <v>1</v>
      </c>
      <c r="BU44" s="128">
        <v>1</v>
      </c>
      <c r="BV44" s="128">
        <v>1</v>
      </c>
      <c r="BW44" s="128">
        <v>1</v>
      </c>
      <c r="BX44" s="128">
        <v>1</v>
      </c>
      <c r="BY44" s="128"/>
      <c r="BZ44" s="128">
        <v>118</v>
      </c>
      <c r="CA44" s="128">
        <v>63</v>
      </c>
      <c r="CB44" s="128"/>
      <c r="CC44" s="128"/>
      <c r="CD44" s="128"/>
      <c r="CE44" s="128">
        <v>0</v>
      </c>
      <c r="CF44" s="128">
        <v>0</v>
      </c>
      <c r="CG44" s="128">
        <v>0</v>
      </c>
      <c r="CH44" s="128"/>
      <c r="CI44" s="128"/>
      <c r="CJ44" s="128"/>
      <c r="CK44" s="128"/>
      <c r="CL44" s="128"/>
      <c r="CM44" s="128">
        <v>0</v>
      </c>
      <c r="CN44" s="128" t="s">
        <v>819</v>
      </c>
      <c r="CO44" s="128">
        <v>0</v>
      </c>
      <c r="CP44" s="128">
        <f t="shared" si="29"/>
        <v>7806</v>
      </c>
      <c r="CQ44" s="128">
        <f t="shared" si="30"/>
        <v>11035.123</v>
      </c>
      <c r="CR44" s="128">
        <f t="shared" si="31"/>
        <v>202.25787500000001</v>
      </c>
      <c r="CS44" s="128">
        <f t="shared" si="32"/>
        <v>14.34625</v>
      </c>
      <c r="CT44" s="128">
        <f t="shared" si="33"/>
        <v>3659.5263199999999</v>
      </c>
      <c r="CU44" s="128">
        <f t="shared" si="34"/>
        <v>0</v>
      </c>
      <c r="CV44" s="128">
        <f t="shared" si="35"/>
        <v>24.449000000000002</v>
      </c>
      <c r="CW44" s="128">
        <f t="shared" si="36"/>
        <v>6.25E-2</v>
      </c>
      <c r="CX44" s="128">
        <f t="shared" si="37"/>
        <v>0</v>
      </c>
      <c r="CY44" s="128">
        <f t="shared" si="38"/>
        <v>2041.56</v>
      </c>
      <c r="CZ44" s="128">
        <f t="shared" si="39"/>
        <v>1040.04</v>
      </c>
      <c r="DA44" s="128"/>
      <c r="DB44" s="128"/>
      <c r="DC44" s="128"/>
      <c r="DD44" s="128"/>
      <c r="DE44" s="128" t="s">
        <v>820</v>
      </c>
      <c r="DF44" s="128" t="s">
        <v>820</v>
      </c>
      <c r="DG44" s="128" t="s">
        <v>821</v>
      </c>
      <c r="DH44" s="128"/>
      <c r="DI44" s="128" t="s">
        <v>821</v>
      </c>
      <c r="DJ44" s="128" t="s">
        <v>820</v>
      </c>
      <c r="DK44" s="128"/>
      <c r="DL44" s="128"/>
      <c r="DM44" s="128"/>
      <c r="DN44" s="128">
        <v>0</v>
      </c>
      <c r="DO44" s="128">
        <v>0</v>
      </c>
      <c r="DP44" s="128">
        <v>1</v>
      </c>
      <c r="DQ44" s="128">
        <v>1</v>
      </c>
      <c r="DR44" s="128"/>
      <c r="DS44" s="128"/>
      <c r="DT44" s="128"/>
      <c r="DU44" s="128">
        <v>1013</v>
      </c>
      <c r="DV44" s="128" t="s">
        <v>845</v>
      </c>
      <c r="DW44" s="128" t="s">
        <v>845</v>
      </c>
      <c r="DX44" s="128">
        <v>1</v>
      </c>
      <c r="DY44" s="128"/>
      <c r="DZ44" s="128"/>
      <c r="EA44" s="128"/>
      <c r="EB44" s="128"/>
      <c r="EC44" s="128"/>
      <c r="ED44" s="128"/>
      <c r="EE44" s="128">
        <v>49587839</v>
      </c>
      <c r="EF44" s="128">
        <v>2</v>
      </c>
      <c r="EG44" s="128" t="s">
        <v>709</v>
      </c>
      <c r="EH44" s="128">
        <v>0</v>
      </c>
      <c r="EI44" s="128"/>
      <c r="EJ44" s="128">
        <v>1</v>
      </c>
      <c r="EK44" s="128">
        <v>10001</v>
      </c>
      <c r="EL44" s="128" t="s">
        <v>0</v>
      </c>
      <c r="EM44" s="128" t="s">
        <v>822</v>
      </c>
      <c r="EN44" s="128"/>
      <c r="EO44" s="128" t="s">
        <v>847</v>
      </c>
      <c r="EP44" s="128"/>
      <c r="EQ44" s="128">
        <v>0</v>
      </c>
      <c r="ER44" s="128">
        <v>3472.88</v>
      </c>
      <c r="ES44" s="128">
        <v>3284.4</v>
      </c>
      <c r="ET44" s="128">
        <v>19.04</v>
      </c>
      <c r="EU44" s="128">
        <v>0.61</v>
      </c>
      <c r="EV44" s="128">
        <v>169.44</v>
      </c>
      <c r="EW44" s="128">
        <v>21.26</v>
      </c>
      <c r="EX44" s="128">
        <v>0.05</v>
      </c>
      <c r="EY44" s="128">
        <v>0</v>
      </c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>
        <v>0</v>
      </c>
      <c r="FR44" s="128">
        <f t="shared" si="40"/>
        <v>0</v>
      </c>
      <c r="FS44" s="128">
        <v>0</v>
      </c>
      <c r="FT44" s="128" t="s">
        <v>1</v>
      </c>
      <c r="FU44" s="128" t="s">
        <v>2</v>
      </c>
      <c r="FV44" s="128"/>
      <c r="FW44" s="128"/>
      <c r="FX44" s="128">
        <v>106.2</v>
      </c>
      <c r="FY44" s="128">
        <v>53.55</v>
      </c>
      <c r="FZ44" s="128"/>
      <c r="GA44" s="128"/>
      <c r="GB44" s="128"/>
      <c r="GC44" s="128"/>
      <c r="GD44" s="128">
        <v>1</v>
      </c>
      <c r="GE44" s="128"/>
      <c r="GF44" s="128">
        <v>-1294194247</v>
      </c>
      <c r="GG44" s="128">
        <v>2</v>
      </c>
      <c r="GH44" s="128">
        <v>1</v>
      </c>
      <c r="GI44" s="128">
        <v>-2</v>
      </c>
      <c r="GJ44" s="128">
        <v>0</v>
      </c>
      <c r="GK44" s="128">
        <v>0</v>
      </c>
      <c r="GL44" s="128">
        <f t="shared" si="41"/>
        <v>0</v>
      </c>
      <c r="GM44" s="128">
        <f t="shared" si="42"/>
        <v>10888</v>
      </c>
      <c r="GN44" s="128">
        <f t="shared" si="43"/>
        <v>10888</v>
      </c>
      <c r="GO44" s="128">
        <f t="shared" si="44"/>
        <v>0</v>
      </c>
      <c r="GP44" s="128">
        <f t="shared" si="45"/>
        <v>0</v>
      </c>
      <c r="GQ44" s="128"/>
      <c r="GR44" s="128">
        <v>0</v>
      </c>
      <c r="GS44" s="128">
        <v>0</v>
      </c>
      <c r="GT44" s="128">
        <v>0</v>
      </c>
      <c r="GU44" s="128"/>
      <c r="GV44" s="128">
        <f t="shared" si="46"/>
        <v>0</v>
      </c>
      <c r="GW44" s="128">
        <v>1</v>
      </c>
      <c r="GX44" s="128">
        <f t="shared" si="47"/>
        <v>0</v>
      </c>
      <c r="GY44" s="128"/>
      <c r="GZ44" s="128"/>
      <c r="HA44" s="128">
        <v>0</v>
      </c>
      <c r="HB44" s="128">
        <v>0</v>
      </c>
      <c r="HC44" s="128">
        <f t="shared" si="48"/>
        <v>0</v>
      </c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>
        <v>0</v>
      </c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</row>
    <row r="45" spans="1:255" x14ac:dyDescent="0.2">
      <c r="A45">
        <v>17</v>
      </c>
      <c r="B45">
        <v>1</v>
      </c>
      <c r="C45">
        <f>ROW(SmtRes!A78)</f>
        <v>78</v>
      </c>
      <c r="D45">
        <f>ROW(EtalonRes!A84)</f>
        <v>84</v>
      </c>
      <c r="E45" t="s">
        <v>119</v>
      </c>
      <c r="F45" t="s">
        <v>843</v>
      </c>
      <c r="G45" t="s">
        <v>844</v>
      </c>
      <c r="H45" t="s">
        <v>845</v>
      </c>
      <c r="I45">
        <f>ROUND(52.4/100,9)</f>
        <v>0.52400000000000002</v>
      </c>
      <c r="J45">
        <v>0</v>
      </c>
      <c r="O45">
        <f t="shared" si="14"/>
        <v>7910</v>
      </c>
      <c r="P45">
        <f t="shared" si="15"/>
        <v>5783</v>
      </c>
      <c r="Q45">
        <f t="shared" si="16"/>
        <v>106</v>
      </c>
      <c r="R45">
        <f t="shared" si="17"/>
        <v>8</v>
      </c>
      <c r="S45">
        <f t="shared" si="18"/>
        <v>2021</v>
      </c>
      <c r="T45">
        <f t="shared" si="19"/>
        <v>0</v>
      </c>
      <c r="U45">
        <f t="shared" si="20"/>
        <v>12.811276000000001</v>
      </c>
      <c r="V45">
        <f t="shared" si="21"/>
        <v>3.2750000000000001E-2</v>
      </c>
      <c r="W45">
        <f t="shared" si="22"/>
        <v>0</v>
      </c>
      <c r="X45">
        <f t="shared" si="23"/>
        <v>2151</v>
      </c>
      <c r="Y45">
        <f t="shared" si="24"/>
        <v>1096</v>
      </c>
      <c r="AA45">
        <v>51866571</v>
      </c>
      <c r="AB45">
        <f t="shared" si="25"/>
        <v>15095.50374</v>
      </c>
      <c r="AC45">
        <f>ROUND((SUM(SmtRes!BQ73:BQ78)),6)</f>
        <v>11035.575999999999</v>
      </c>
      <c r="AD45">
        <f>ROUND((((SUM(SmtRes!BR73:BR78))-(SUM(SmtRes!BS73:BS78)))+AE45),6)</f>
        <v>202.8535</v>
      </c>
      <c r="AE45">
        <f>ROUND((SUM(SmtRes!BS73:BS78)),6)</f>
        <v>14.94375</v>
      </c>
      <c r="AF45">
        <f>ROUND((SUM(SmtRes!BT73:BT78)),6)</f>
        <v>3857.0742399999999</v>
      </c>
      <c r="AG45">
        <f t="shared" si="27"/>
        <v>0</v>
      </c>
      <c r="AH45">
        <f>(SUM(SmtRes!BU73:BU78))</f>
        <v>24.449000000000002</v>
      </c>
      <c r="AI45">
        <f>(SUM(SmtRes!BV73:BV78))</f>
        <v>6.25E-2</v>
      </c>
      <c r="AJ45">
        <f t="shared" si="28"/>
        <v>0</v>
      </c>
      <c r="AK45">
        <v>14551.8364</v>
      </c>
      <c r="AL45">
        <v>11035.575999999999</v>
      </c>
      <c r="AM45">
        <v>162.28280000000001</v>
      </c>
      <c r="AN45">
        <v>11.955</v>
      </c>
      <c r="AO45">
        <v>3353.9776000000002</v>
      </c>
      <c r="AP45">
        <v>0</v>
      </c>
      <c r="AQ45">
        <v>21.26</v>
      </c>
      <c r="AR45">
        <v>0.05</v>
      </c>
      <c r="AS45">
        <v>0</v>
      </c>
      <c r="AT45">
        <v>106</v>
      </c>
      <c r="AU45">
        <v>54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H45">
        <v>0</v>
      </c>
      <c r="BI45">
        <v>1</v>
      </c>
      <c r="BJ45" t="s">
        <v>846</v>
      </c>
      <c r="BM45">
        <v>10001</v>
      </c>
      <c r="BN45">
        <v>0</v>
      </c>
      <c r="BP45">
        <v>0</v>
      </c>
      <c r="BQ45">
        <v>2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Z45">
        <v>118</v>
      </c>
      <c r="CA45">
        <v>63</v>
      </c>
      <c r="CE45">
        <v>0</v>
      </c>
      <c r="CF45">
        <v>0</v>
      </c>
      <c r="CG45">
        <v>0</v>
      </c>
      <c r="CM45">
        <v>0</v>
      </c>
      <c r="CN45" t="s">
        <v>819</v>
      </c>
      <c r="CO45">
        <v>0</v>
      </c>
      <c r="CP45">
        <f t="shared" si="29"/>
        <v>7910</v>
      </c>
      <c r="CQ45">
        <f t="shared" si="30"/>
        <v>11035.575999999999</v>
      </c>
      <c r="CR45">
        <f t="shared" si="31"/>
        <v>202.8535</v>
      </c>
      <c r="CS45">
        <f t="shared" si="32"/>
        <v>14.94375</v>
      </c>
      <c r="CT45">
        <f t="shared" si="33"/>
        <v>3857.0742399999999</v>
      </c>
      <c r="CU45">
        <f t="shared" si="34"/>
        <v>0</v>
      </c>
      <c r="CV45">
        <f t="shared" si="35"/>
        <v>24.449000000000002</v>
      </c>
      <c r="CW45">
        <f t="shared" si="36"/>
        <v>6.25E-2</v>
      </c>
      <c r="CX45">
        <f t="shared" si="37"/>
        <v>0</v>
      </c>
      <c r="CY45">
        <f t="shared" si="38"/>
        <v>2150.7399999999998</v>
      </c>
      <c r="CZ45">
        <f t="shared" si="39"/>
        <v>1095.6600000000001</v>
      </c>
      <c r="DE45" t="s">
        <v>820</v>
      </c>
      <c r="DF45" t="s">
        <v>820</v>
      </c>
      <c r="DG45" t="s">
        <v>821</v>
      </c>
      <c r="DI45" t="s">
        <v>821</v>
      </c>
      <c r="DJ45" t="s">
        <v>820</v>
      </c>
      <c r="DN45">
        <v>0</v>
      </c>
      <c r="DO45">
        <v>0</v>
      </c>
      <c r="DP45">
        <v>1</v>
      </c>
      <c r="DQ45">
        <v>1</v>
      </c>
      <c r="DU45">
        <v>1013</v>
      </c>
      <c r="DV45" t="s">
        <v>845</v>
      </c>
      <c r="DW45" t="s">
        <v>845</v>
      </c>
      <c r="DX45">
        <v>1</v>
      </c>
      <c r="EE45">
        <v>49587839</v>
      </c>
      <c r="EF45">
        <v>2</v>
      </c>
      <c r="EG45" t="s">
        <v>709</v>
      </c>
      <c r="EH45">
        <v>0</v>
      </c>
      <c r="EJ45">
        <v>1</v>
      </c>
      <c r="EK45">
        <v>10001</v>
      </c>
      <c r="EL45" t="s">
        <v>0</v>
      </c>
      <c r="EM45" t="s">
        <v>822</v>
      </c>
      <c r="EO45" t="s">
        <v>847</v>
      </c>
      <c r="EQ45">
        <v>0</v>
      </c>
      <c r="ER45">
        <v>3472.88</v>
      </c>
      <c r="ES45">
        <v>3284.4</v>
      </c>
      <c r="ET45">
        <v>19.04</v>
      </c>
      <c r="EU45">
        <v>0.61</v>
      </c>
      <c r="EV45">
        <v>169.44</v>
      </c>
      <c r="EW45">
        <v>21.26</v>
      </c>
      <c r="EX45">
        <v>0.05</v>
      </c>
      <c r="EY45">
        <v>0</v>
      </c>
      <c r="FQ45">
        <v>0</v>
      </c>
      <c r="FR45">
        <f t="shared" si="40"/>
        <v>0</v>
      </c>
      <c r="FS45">
        <v>0</v>
      </c>
      <c r="FT45" t="s">
        <v>1</v>
      </c>
      <c r="FU45" t="s">
        <v>2</v>
      </c>
      <c r="FX45">
        <v>106.2</v>
      </c>
      <c r="FY45">
        <v>53.55</v>
      </c>
      <c r="GD45">
        <v>1</v>
      </c>
      <c r="GF45">
        <v>-1294194247</v>
      </c>
      <c r="GG45">
        <v>2</v>
      </c>
      <c r="GH45">
        <v>1</v>
      </c>
      <c r="GI45">
        <v>-2</v>
      </c>
      <c r="GJ45">
        <v>0</v>
      </c>
      <c r="GK45">
        <v>0</v>
      </c>
      <c r="GL45">
        <f t="shared" si="41"/>
        <v>0</v>
      </c>
      <c r="GM45">
        <f t="shared" si="42"/>
        <v>11157</v>
      </c>
      <c r="GN45">
        <f t="shared" si="43"/>
        <v>11157</v>
      </c>
      <c r="GO45">
        <f t="shared" si="44"/>
        <v>0</v>
      </c>
      <c r="GP45">
        <f t="shared" si="45"/>
        <v>0</v>
      </c>
      <c r="GR45">
        <v>0</v>
      </c>
      <c r="GS45">
        <v>3</v>
      </c>
      <c r="GT45">
        <v>0</v>
      </c>
      <c r="GV45">
        <f t="shared" si="46"/>
        <v>0</v>
      </c>
      <c r="GW45">
        <v>1</v>
      </c>
      <c r="GX45">
        <f t="shared" si="47"/>
        <v>0</v>
      </c>
      <c r="HA45">
        <v>0</v>
      </c>
      <c r="HB45">
        <v>0</v>
      </c>
      <c r="HC45">
        <f t="shared" si="48"/>
        <v>0</v>
      </c>
      <c r="IK45">
        <v>0</v>
      </c>
    </row>
    <row r="46" spans="1:255" x14ac:dyDescent="0.2">
      <c r="A46" s="128">
        <v>17</v>
      </c>
      <c r="B46" s="128">
        <v>1</v>
      </c>
      <c r="C46" s="128"/>
      <c r="D46" s="128"/>
      <c r="E46" s="128" t="s">
        <v>120</v>
      </c>
      <c r="F46" s="128" t="s">
        <v>848</v>
      </c>
      <c r="G46" s="128" t="s">
        <v>849</v>
      </c>
      <c r="H46" s="128" t="s">
        <v>171</v>
      </c>
      <c r="I46" s="128">
        <v>52.4</v>
      </c>
      <c r="J46" s="128">
        <v>0</v>
      </c>
      <c r="K46" s="128"/>
      <c r="L46" s="128"/>
      <c r="M46" s="128"/>
      <c r="N46" s="128"/>
      <c r="O46" s="128">
        <f t="shared" si="14"/>
        <v>19445</v>
      </c>
      <c r="P46" s="128">
        <f t="shared" si="15"/>
        <v>19445</v>
      </c>
      <c r="Q46" s="128">
        <f t="shared" si="16"/>
        <v>0</v>
      </c>
      <c r="R46" s="128">
        <f t="shared" si="17"/>
        <v>0</v>
      </c>
      <c r="S46" s="128">
        <f t="shared" si="18"/>
        <v>0</v>
      </c>
      <c r="T46" s="128">
        <f t="shared" si="19"/>
        <v>0</v>
      </c>
      <c r="U46" s="128">
        <f t="shared" si="20"/>
        <v>0</v>
      </c>
      <c r="V46" s="128">
        <f t="shared" si="21"/>
        <v>0</v>
      </c>
      <c r="W46" s="128">
        <f t="shared" si="22"/>
        <v>0</v>
      </c>
      <c r="X46" s="128">
        <f t="shared" si="23"/>
        <v>0</v>
      </c>
      <c r="Y46" s="128">
        <f t="shared" si="24"/>
        <v>0</v>
      </c>
      <c r="Z46" s="128"/>
      <c r="AA46" s="128">
        <v>51866573</v>
      </c>
      <c r="AB46" s="128">
        <f t="shared" si="25"/>
        <v>371.08</v>
      </c>
      <c r="AC46" s="128">
        <f>ROUND((ES46),6)</f>
        <v>371.08</v>
      </c>
      <c r="AD46" s="128">
        <f>ROUND((((ET46)-(EU46))+AE46),6)</f>
        <v>0</v>
      </c>
      <c r="AE46" s="128">
        <f>ROUND((EU46),6)</f>
        <v>0</v>
      </c>
      <c r="AF46" s="128">
        <f>ROUND((EV46),6)</f>
        <v>0</v>
      </c>
      <c r="AG46" s="128">
        <f t="shared" si="27"/>
        <v>0</v>
      </c>
      <c r="AH46" s="128">
        <f>(EW46)</f>
        <v>0</v>
      </c>
      <c r="AI46" s="128">
        <f>(EX46)</f>
        <v>0</v>
      </c>
      <c r="AJ46" s="128">
        <f t="shared" si="28"/>
        <v>0</v>
      </c>
      <c r="AK46" s="128">
        <v>371.08</v>
      </c>
      <c r="AL46" s="128">
        <v>371.08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1</v>
      </c>
      <c r="AW46" s="128">
        <v>1</v>
      </c>
      <c r="AX46" s="128"/>
      <c r="AY46" s="128"/>
      <c r="AZ46" s="128">
        <v>1</v>
      </c>
      <c r="BA46" s="128">
        <v>1</v>
      </c>
      <c r="BB46" s="128">
        <v>1</v>
      </c>
      <c r="BC46" s="128">
        <v>1</v>
      </c>
      <c r="BD46" s="128"/>
      <c r="BE46" s="128"/>
      <c r="BF46" s="128"/>
      <c r="BG46" s="128"/>
      <c r="BH46" s="128">
        <v>3</v>
      </c>
      <c r="BI46" s="128">
        <v>1</v>
      </c>
      <c r="BJ46" s="128" t="s">
        <v>850</v>
      </c>
      <c r="BK46" s="128"/>
      <c r="BL46" s="128"/>
      <c r="BM46" s="128">
        <v>500001</v>
      </c>
      <c r="BN46" s="128">
        <v>0</v>
      </c>
      <c r="BO46" s="128"/>
      <c r="BP46" s="128">
        <v>0</v>
      </c>
      <c r="BQ46" s="128">
        <v>8</v>
      </c>
      <c r="BR46" s="128">
        <v>0</v>
      </c>
      <c r="BS46" s="128">
        <v>1</v>
      </c>
      <c r="BT46" s="128">
        <v>1</v>
      </c>
      <c r="BU46" s="128">
        <v>1</v>
      </c>
      <c r="BV46" s="128">
        <v>1</v>
      </c>
      <c r="BW46" s="128">
        <v>1</v>
      </c>
      <c r="BX46" s="128">
        <v>1</v>
      </c>
      <c r="BY46" s="128"/>
      <c r="BZ46" s="128">
        <v>0</v>
      </c>
      <c r="CA46" s="128">
        <v>0</v>
      </c>
      <c r="CB46" s="128"/>
      <c r="CC46" s="128"/>
      <c r="CD46" s="128"/>
      <c r="CE46" s="128">
        <v>0</v>
      </c>
      <c r="CF46" s="128">
        <v>0</v>
      </c>
      <c r="CG46" s="128">
        <v>0</v>
      </c>
      <c r="CH46" s="128"/>
      <c r="CI46" s="128"/>
      <c r="CJ46" s="128"/>
      <c r="CK46" s="128"/>
      <c r="CL46" s="128"/>
      <c r="CM46" s="128">
        <v>0</v>
      </c>
      <c r="CN46" s="128"/>
      <c r="CO46" s="128">
        <v>0</v>
      </c>
      <c r="CP46" s="128">
        <f t="shared" si="29"/>
        <v>19445</v>
      </c>
      <c r="CQ46" s="128">
        <f t="shared" si="30"/>
        <v>371.08</v>
      </c>
      <c r="CR46" s="128">
        <f t="shared" si="31"/>
        <v>0</v>
      </c>
      <c r="CS46" s="128">
        <f t="shared" si="32"/>
        <v>0</v>
      </c>
      <c r="CT46" s="128">
        <f t="shared" si="33"/>
        <v>0</v>
      </c>
      <c r="CU46" s="128">
        <f t="shared" si="34"/>
        <v>0</v>
      </c>
      <c r="CV46" s="128">
        <f t="shared" si="35"/>
        <v>0</v>
      </c>
      <c r="CW46" s="128">
        <f t="shared" si="36"/>
        <v>0</v>
      </c>
      <c r="CX46" s="128">
        <f t="shared" si="37"/>
        <v>0</v>
      </c>
      <c r="CY46" s="128">
        <f t="shared" si="38"/>
        <v>0</v>
      </c>
      <c r="CZ46" s="128">
        <f t="shared" si="39"/>
        <v>0</v>
      </c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>
        <v>0</v>
      </c>
      <c r="DO46" s="128">
        <v>0</v>
      </c>
      <c r="DP46" s="128">
        <v>1</v>
      </c>
      <c r="DQ46" s="128">
        <v>1</v>
      </c>
      <c r="DR46" s="128"/>
      <c r="DS46" s="128"/>
      <c r="DT46" s="128"/>
      <c r="DU46" s="128">
        <v>1003</v>
      </c>
      <c r="DV46" s="128" t="s">
        <v>171</v>
      </c>
      <c r="DW46" s="128" t="s">
        <v>171</v>
      </c>
      <c r="DX46" s="128">
        <v>1</v>
      </c>
      <c r="DY46" s="128"/>
      <c r="DZ46" s="128"/>
      <c r="EA46" s="128"/>
      <c r="EB46" s="128"/>
      <c r="EC46" s="128"/>
      <c r="ED46" s="128"/>
      <c r="EE46" s="128">
        <v>49587772</v>
      </c>
      <c r="EF46" s="128">
        <v>8</v>
      </c>
      <c r="EG46" s="128" t="s">
        <v>827</v>
      </c>
      <c r="EH46" s="128">
        <v>0</v>
      </c>
      <c r="EI46" s="128"/>
      <c r="EJ46" s="128">
        <v>1</v>
      </c>
      <c r="EK46" s="128">
        <v>500001</v>
      </c>
      <c r="EL46" s="128" t="s">
        <v>7</v>
      </c>
      <c r="EM46" s="128" t="s">
        <v>828</v>
      </c>
      <c r="EN46" s="128"/>
      <c r="EO46" s="128"/>
      <c r="EP46" s="128"/>
      <c r="EQ46" s="128">
        <v>0</v>
      </c>
      <c r="ER46" s="128">
        <v>371.08</v>
      </c>
      <c r="ES46" s="128">
        <v>371.08</v>
      </c>
      <c r="ET46" s="128">
        <v>0</v>
      </c>
      <c r="EU46" s="128">
        <v>0</v>
      </c>
      <c r="EV46" s="128">
        <v>0</v>
      </c>
      <c r="EW46" s="128">
        <v>0</v>
      </c>
      <c r="EX46" s="128">
        <v>0</v>
      </c>
      <c r="EY46" s="128">
        <v>0</v>
      </c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>
        <v>0</v>
      </c>
      <c r="FR46" s="128">
        <f t="shared" si="40"/>
        <v>0</v>
      </c>
      <c r="FS46" s="128">
        <v>0</v>
      </c>
      <c r="FT46" s="128"/>
      <c r="FU46" s="128"/>
      <c r="FV46" s="128"/>
      <c r="FW46" s="128"/>
      <c r="FX46" s="128">
        <v>0</v>
      </c>
      <c r="FY46" s="128">
        <v>0</v>
      </c>
      <c r="FZ46" s="128"/>
      <c r="GA46" s="128"/>
      <c r="GB46" s="128"/>
      <c r="GC46" s="128"/>
      <c r="GD46" s="128">
        <v>1</v>
      </c>
      <c r="GE46" s="128"/>
      <c r="GF46" s="128">
        <v>534545823</v>
      </c>
      <c r="GG46" s="128">
        <v>2</v>
      </c>
      <c r="GH46" s="128">
        <v>1</v>
      </c>
      <c r="GI46" s="128">
        <v>-2</v>
      </c>
      <c r="GJ46" s="128">
        <v>0</v>
      </c>
      <c r="GK46" s="128">
        <v>0</v>
      </c>
      <c r="GL46" s="128">
        <f t="shared" si="41"/>
        <v>0</v>
      </c>
      <c r="GM46" s="128">
        <f t="shared" si="42"/>
        <v>19445</v>
      </c>
      <c r="GN46" s="128">
        <f t="shared" si="43"/>
        <v>19445</v>
      </c>
      <c r="GO46" s="128">
        <f t="shared" si="44"/>
        <v>0</v>
      </c>
      <c r="GP46" s="128">
        <f t="shared" si="45"/>
        <v>0</v>
      </c>
      <c r="GQ46" s="128"/>
      <c r="GR46" s="128">
        <v>0</v>
      </c>
      <c r="GS46" s="128">
        <v>3</v>
      </c>
      <c r="GT46" s="128">
        <v>0</v>
      </c>
      <c r="GU46" s="128"/>
      <c r="GV46" s="128">
        <f t="shared" si="46"/>
        <v>0</v>
      </c>
      <c r="GW46" s="128">
        <v>1</v>
      </c>
      <c r="GX46" s="128">
        <f t="shared" si="47"/>
        <v>0</v>
      </c>
      <c r="GY46" s="128"/>
      <c r="GZ46" s="128"/>
      <c r="HA46" s="128">
        <v>0</v>
      </c>
      <c r="HB46" s="128">
        <v>0</v>
      </c>
      <c r="HC46" s="128">
        <f t="shared" si="48"/>
        <v>0</v>
      </c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>
        <v>0</v>
      </c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</row>
    <row r="47" spans="1:255" x14ac:dyDescent="0.2">
      <c r="A47">
        <v>17</v>
      </c>
      <c r="B47">
        <v>1</v>
      </c>
      <c r="E47" t="s">
        <v>120</v>
      </c>
      <c r="F47" t="s">
        <v>848</v>
      </c>
      <c r="G47" t="s">
        <v>849</v>
      </c>
      <c r="H47" t="s">
        <v>171</v>
      </c>
      <c r="I47">
        <v>52.4</v>
      </c>
      <c r="J47">
        <v>0</v>
      </c>
      <c r="O47">
        <f t="shared" si="14"/>
        <v>20857</v>
      </c>
      <c r="P47">
        <f t="shared" si="15"/>
        <v>20857</v>
      </c>
      <c r="Q47">
        <f t="shared" si="16"/>
        <v>0</v>
      </c>
      <c r="R47">
        <f t="shared" si="17"/>
        <v>0</v>
      </c>
      <c r="S47">
        <f t="shared" si="18"/>
        <v>0</v>
      </c>
      <c r="T47">
        <f t="shared" si="19"/>
        <v>0</v>
      </c>
      <c r="U47">
        <f t="shared" si="20"/>
        <v>0</v>
      </c>
      <c r="V47">
        <f t="shared" si="21"/>
        <v>0</v>
      </c>
      <c r="W47">
        <f t="shared" si="22"/>
        <v>0</v>
      </c>
      <c r="X47">
        <f t="shared" si="23"/>
        <v>0</v>
      </c>
      <c r="Y47">
        <f t="shared" si="24"/>
        <v>0</v>
      </c>
      <c r="AA47">
        <v>51866571</v>
      </c>
      <c r="AB47">
        <f t="shared" si="25"/>
        <v>398.03</v>
      </c>
      <c r="AC47">
        <f>ROUND((ES47),6)</f>
        <v>398.03</v>
      </c>
      <c r="AD47">
        <f>ROUND((((ET47)-(EU47))+AE47),6)</f>
        <v>0</v>
      </c>
      <c r="AE47">
        <f>ROUND((EU47),6)</f>
        <v>0</v>
      </c>
      <c r="AF47">
        <f>ROUND((EV47),6)</f>
        <v>0</v>
      </c>
      <c r="AG47">
        <f t="shared" si="27"/>
        <v>0</v>
      </c>
      <c r="AH47">
        <f>(EW47)</f>
        <v>0</v>
      </c>
      <c r="AI47">
        <f>(EX47)</f>
        <v>0</v>
      </c>
      <c r="AJ47">
        <f t="shared" si="28"/>
        <v>0</v>
      </c>
      <c r="AK47">
        <v>398.03</v>
      </c>
      <c r="AL47">
        <v>398.03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H47">
        <v>3</v>
      </c>
      <c r="BI47">
        <v>1</v>
      </c>
      <c r="BJ47" t="s">
        <v>850</v>
      </c>
      <c r="BM47">
        <v>500001</v>
      </c>
      <c r="BN47">
        <v>0</v>
      </c>
      <c r="BP47">
        <v>0</v>
      </c>
      <c r="BQ47">
        <v>8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Z47">
        <v>0</v>
      </c>
      <c r="CA47">
        <v>0</v>
      </c>
      <c r="CE47">
        <v>0</v>
      </c>
      <c r="CF47">
        <v>0</v>
      </c>
      <c r="CG47">
        <v>0</v>
      </c>
      <c r="CM47">
        <v>0</v>
      </c>
      <c r="CO47">
        <v>0</v>
      </c>
      <c r="CP47">
        <f t="shared" si="29"/>
        <v>20857</v>
      </c>
      <c r="CQ47">
        <f t="shared" si="30"/>
        <v>398.03</v>
      </c>
      <c r="CR47">
        <f t="shared" si="31"/>
        <v>0</v>
      </c>
      <c r="CS47">
        <f t="shared" si="32"/>
        <v>0</v>
      </c>
      <c r="CT47">
        <f t="shared" si="33"/>
        <v>0</v>
      </c>
      <c r="CU47">
        <f t="shared" si="34"/>
        <v>0</v>
      </c>
      <c r="CV47">
        <f t="shared" si="35"/>
        <v>0</v>
      </c>
      <c r="CW47">
        <f t="shared" si="36"/>
        <v>0</v>
      </c>
      <c r="CX47">
        <f t="shared" si="37"/>
        <v>0</v>
      </c>
      <c r="CY47">
        <f t="shared" si="38"/>
        <v>0</v>
      </c>
      <c r="CZ47">
        <f t="shared" si="39"/>
        <v>0</v>
      </c>
      <c r="DN47">
        <v>0</v>
      </c>
      <c r="DO47">
        <v>0</v>
      </c>
      <c r="DP47">
        <v>1</v>
      </c>
      <c r="DQ47">
        <v>1</v>
      </c>
      <c r="DU47">
        <v>1003</v>
      </c>
      <c r="DV47" t="s">
        <v>171</v>
      </c>
      <c r="DW47" t="s">
        <v>171</v>
      </c>
      <c r="DX47">
        <v>1</v>
      </c>
      <c r="EE47">
        <v>49587772</v>
      </c>
      <c r="EF47">
        <v>8</v>
      </c>
      <c r="EG47" t="s">
        <v>827</v>
      </c>
      <c r="EH47">
        <v>0</v>
      </c>
      <c r="EJ47">
        <v>1</v>
      </c>
      <c r="EK47">
        <v>500001</v>
      </c>
      <c r="EL47" t="s">
        <v>7</v>
      </c>
      <c r="EM47" t="s">
        <v>828</v>
      </c>
      <c r="EQ47">
        <v>0</v>
      </c>
      <c r="ER47">
        <v>398.03</v>
      </c>
      <c r="ES47">
        <v>398.03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FQ47">
        <v>0</v>
      </c>
      <c r="FR47">
        <f t="shared" si="40"/>
        <v>0</v>
      </c>
      <c r="FS47">
        <v>0</v>
      </c>
      <c r="FX47">
        <v>0</v>
      </c>
      <c r="FY47">
        <v>0</v>
      </c>
      <c r="GD47">
        <v>1</v>
      </c>
      <c r="GE47">
        <v>371.08</v>
      </c>
      <c r="GF47">
        <v>534545823</v>
      </c>
      <c r="GG47">
        <v>2</v>
      </c>
      <c r="GH47">
        <v>1</v>
      </c>
      <c r="GI47">
        <v>-2</v>
      </c>
      <c r="GJ47">
        <v>0</v>
      </c>
      <c r="GK47">
        <v>0</v>
      </c>
      <c r="GL47">
        <f t="shared" si="41"/>
        <v>0</v>
      </c>
      <c r="GM47">
        <f t="shared" si="42"/>
        <v>20857</v>
      </c>
      <c r="GN47">
        <f t="shared" si="43"/>
        <v>20857</v>
      </c>
      <c r="GO47">
        <f t="shared" si="44"/>
        <v>0</v>
      </c>
      <c r="GP47">
        <f t="shared" si="45"/>
        <v>0</v>
      </c>
      <c r="GR47">
        <v>3</v>
      </c>
      <c r="GS47">
        <v>3</v>
      </c>
      <c r="GT47">
        <v>0</v>
      </c>
      <c r="GV47">
        <f t="shared" si="46"/>
        <v>0</v>
      </c>
      <c r="GW47">
        <v>1</v>
      </c>
      <c r="GX47">
        <f t="shared" si="47"/>
        <v>0</v>
      </c>
      <c r="HA47">
        <v>0</v>
      </c>
      <c r="HB47">
        <v>0</v>
      </c>
      <c r="HC47">
        <f t="shared" si="48"/>
        <v>0</v>
      </c>
      <c r="IK47">
        <v>0</v>
      </c>
    </row>
    <row r="48" spans="1:255" x14ac:dyDescent="0.2">
      <c r="A48" s="128">
        <v>17</v>
      </c>
      <c r="B48" s="128">
        <v>1</v>
      </c>
      <c r="C48" s="128">
        <f>ROW(SmtRes!A86)</f>
        <v>86</v>
      </c>
      <c r="D48" s="128">
        <f>ROW(EtalonRes!A93)</f>
        <v>93</v>
      </c>
      <c r="E48" s="128" t="s">
        <v>123</v>
      </c>
      <c r="F48" s="128" t="s">
        <v>851</v>
      </c>
      <c r="G48" s="128" t="s">
        <v>852</v>
      </c>
      <c r="H48" s="128" t="s">
        <v>853</v>
      </c>
      <c r="I48" s="128">
        <f>ROUND(81.55/100,9)</f>
        <v>0.8155</v>
      </c>
      <c r="J48" s="128">
        <v>0</v>
      </c>
      <c r="K48" s="128"/>
      <c r="L48" s="128"/>
      <c r="M48" s="128"/>
      <c r="N48" s="128"/>
      <c r="O48" s="128">
        <f t="shared" si="14"/>
        <v>26911</v>
      </c>
      <c r="P48" s="128">
        <f t="shared" si="15"/>
        <v>1335</v>
      </c>
      <c r="Q48" s="128">
        <f t="shared" si="16"/>
        <v>420</v>
      </c>
      <c r="R48" s="128">
        <f t="shared" si="17"/>
        <v>19</v>
      </c>
      <c r="S48" s="128">
        <f t="shared" si="18"/>
        <v>25156</v>
      </c>
      <c r="T48" s="128">
        <f t="shared" si="19"/>
        <v>0</v>
      </c>
      <c r="U48" s="128">
        <f t="shared" si="20"/>
        <v>156.11972774999998</v>
      </c>
      <c r="V48" s="128">
        <f t="shared" si="21"/>
        <v>8.1550000000000011E-2</v>
      </c>
      <c r="W48" s="128">
        <f t="shared" si="22"/>
        <v>0</v>
      </c>
      <c r="X48" s="128">
        <f t="shared" si="23"/>
        <v>23916</v>
      </c>
      <c r="Y48" s="128">
        <f t="shared" si="24"/>
        <v>11832</v>
      </c>
      <c r="Z48" s="128"/>
      <c r="AA48" s="128">
        <v>51866573</v>
      </c>
      <c r="AB48" s="128">
        <f t="shared" si="25"/>
        <v>32998.245075999999</v>
      </c>
      <c r="AC48" s="128">
        <f>ROUND((SUM(SmtRes!BQ79:BQ86)),6)</f>
        <v>1636.9660610000001</v>
      </c>
      <c r="AD48" s="128">
        <f>ROUND((((SUM(SmtRes!BR79:BR86))-(SUM(SmtRes!BS79:BS86)))+AE48),6)</f>
        <v>514.47125000000005</v>
      </c>
      <c r="AE48" s="128">
        <f>ROUND((SUM(SmtRes!BS79:BS86)),6)</f>
        <v>22.954000000000001</v>
      </c>
      <c r="AF48" s="128">
        <f>ROUND((SUM(SmtRes!BT79:BT86)),6)</f>
        <v>30846.807765000001</v>
      </c>
      <c r="AG48" s="128">
        <f t="shared" si="27"/>
        <v>0</v>
      </c>
      <c r="AH48" s="128">
        <f>(SUM(SmtRes!BU79:BU86))</f>
        <v>191.44049999999999</v>
      </c>
      <c r="AI48" s="128">
        <f>(SUM(SmtRes!BV79:BV86))</f>
        <v>0.1</v>
      </c>
      <c r="AJ48" s="128">
        <f t="shared" si="28"/>
        <v>0</v>
      </c>
      <c r="AK48" s="128">
        <v>28871.854160999999</v>
      </c>
      <c r="AL48" s="128">
        <v>1636.9660610000001</v>
      </c>
      <c r="AM48" s="128">
        <v>411.577</v>
      </c>
      <c r="AN48" s="128">
        <v>18.363199999999999</v>
      </c>
      <c r="AO48" s="128">
        <v>26823.311099999999</v>
      </c>
      <c r="AP48" s="128">
        <v>0</v>
      </c>
      <c r="AQ48" s="128">
        <v>166.47</v>
      </c>
      <c r="AR48" s="128">
        <v>0.08</v>
      </c>
      <c r="AS48" s="128">
        <v>0</v>
      </c>
      <c r="AT48" s="128">
        <v>95</v>
      </c>
      <c r="AU48" s="128">
        <v>47</v>
      </c>
      <c r="AV48" s="128">
        <v>1</v>
      </c>
      <c r="AW48" s="128">
        <v>1</v>
      </c>
      <c r="AX48" s="128"/>
      <c r="AY48" s="128"/>
      <c r="AZ48" s="128">
        <v>1</v>
      </c>
      <c r="BA48" s="128">
        <v>1</v>
      </c>
      <c r="BB48" s="128">
        <v>1</v>
      </c>
      <c r="BC48" s="128">
        <v>1</v>
      </c>
      <c r="BD48" s="128"/>
      <c r="BE48" s="128"/>
      <c r="BF48" s="128"/>
      <c r="BG48" s="128"/>
      <c r="BH48" s="128">
        <v>0</v>
      </c>
      <c r="BI48" s="128">
        <v>1</v>
      </c>
      <c r="BJ48" s="128" t="s">
        <v>854</v>
      </c>
      <c r="BK48" s="128"/>
      <c r="BL48" s="128"/>
      <c r="BM48" s="128">
        <v>15001</v>
      </c>
      <c r="BN48" s="128">
        <v>0</v>
      </c>
      <c r="BO48" s="128"/>
      <c r="BP48" s="128">
        <v>0</v>
      </c>
      <c r="BQ48" s="128">
        <v>2</v>
      </c>
      <c r="BR48" s="128">
        <v>0</v>
      </c>
      <c r="BS48" s="128">
        <v>1</v>
      </c>
      <c r="BT48" s="128">
        <v>1</v>
      </c>
      <c r="BU48" s="128">
        <v>1</v>
      </c>
      <c r="BV48" s="128">
        <v>1</v>
      </c>
      <c r="BW48" s="128">
        <v>1</v>
      </c>
      <c r="BX48" s="128">
        <v>1</v>
      </c>
      <c r="BY48" s="128"/>
      <c r="BZ48" s="128">
        <v>105</v>
      </c>
      <c r="CA48" s="128">
        <v>55</v>
      </c>
      <c r="CB48" s="128"/>
      <c r="CC48" s="128"/>
      <c r="CD48" s="128"/>
      <c r="CE48" s="128">
        <v>0</v>
      </c>
      <c r="CF48" s="128">
        <v>0</v>
      </c>
      <c r="CG48" s="128">
        <v>0</v>
      </c>
      <c r="CH48" s="128"/>
      <c r="CI48" s="128"/>
      <c r="CJ48" s="128"/>
      <c r="CK48" s="128"/>
      <c r="CL48" s="128"/>
      <c r="CM48" s="128">
        <v>0</v>
      </c>
      <c r="CN48" s="128" t="s">
        <v>819</v>
      </c>
      <c r="CO48" s="128">
        <v>0</v>
      </c>
      <c r="CP48" s="128">
        <f t="shared" si="29"/>
        <v>26911</v>
      </c>
      <c r="CQ48" s="128">
        <f t="shared" si="30"/>
        <v>1636.9660610000001</v>
      </c>
      <c r="CR48" s="128">
        <f t="shared" si="31"/>
        <v>514.47125000000005</v>
      </c>
      <c r="CS48" s="128">
        <f t="shared" si="32"/>
        <v>22.954000000000001</v>
      </c>
      <c r="CT48" s="128">
        <f t="shared" si="33"/>
        <v>30846.807765000001</v>
      </c>
      <c r="CU48" s="128">
        <f t="shared" si="34"/>
        <v>0</v>
      </c>
      <c r="CV48" s="128">
        <f t="shared" si="35"/>
        <v>191.44049999999999</v>
      </c>
      <c r="CW48" s="128">
        <f t="shared" si="36"/>
        <v>0.1</v>
      </c>
      <c r="CX48" s="128">
        <f t="shared" si="37"/>
        <v>0</v>
      </c>
      <c r="CY48" s="128">
        <f t="shared" si="38"/>
        <v>23916.25</v>
      </c>
      <c r="CZ48" s="128">
        <f t="shared" si="39"/>
        <v>11832.25</v>
      </c>
      <c r="DA48" s="128"/>
      <c r="DB48" s="128"/>
      <c r="DC48" s="128"/>
      <c r="DD48" s="128"/>
      <c r="DE48" s="128" t="s">
        <v>820</v>
      </c>
      <c r="DF48" s="128" t="s">
        <v>820</v>
      </c>
      <c r="DG48" s="128" t="s">
        <v>821</v>
      </c>
      <c r="DH48" s="128"/>
      <c r="DI48" s="128" t="s">
        <v>821</v>
      </c>
      <c r="DJ48" s="128" t="s">
        <v>820</v>
      </c>
      <c r="DK48" s="128"/>
      <c r="DL48" s="128"/>
      <c r="DM48" s="128"/>
      <c r="DN48" s="128">
        <v>0</v>
      </c>
      <c r="DO48" s="128">
        <v>0</v>
      </c>
      <c r="DP48" s="128">
        <v>1</v>
      </c>
      <c r="DQ48" s="128">
        <v>1</v>
      </c>
      <c r="DR48" s="128"/>
      <c r="DS48" s="128"/>
      <c r="DT48" s="128"/>
      <c r="DU48" s="128">
        <v>1013</v>
      </c>
      <c r="DV48" s="128" t="s">
        <v>853</v>
      </c>
      <c r="DW48" s="128" t="s">
        <v>853</v>
      </c>
      <c r="DX48" s="128">
        <v>1</v>
      </c>
      <c r="DY48" s="128"/>
      <c r="DZ48" s="128"/>
      <c r="EA48" s="128"/>
      <c r="EB48" s="128"/>
      <c r="EC48" s="128"/>
      <c r="ED48" s="128"/>
      <c r="EE48" s="128">
        <v>49587865</v>
      </c>
      <c r="EF48" s="128">
        <v>2</v>
      </c>
      <c r="EG48" s="128" t="s">
        <v>709</v>
      </c>
      <c r="EH48" s="128">
        <v>0</v>
      </c>
      <c r="EI48" s="128"/>
      <c r="EJ48" s="128">
        <v>1</v>
      </c>
      <c r="EK48" s="128">
        <v>15001</v>
      </c>
      <c r="EL48" s="128" t="s">
        <v>4</v>
      </c>
      <c r="EM48" s="128" t="s">
        <v>855</v>
      </c>
      <c r="EN48" s="128"/>
      <c r="EO48" s="128" t="s">
        <v>823</v>
      </c>
      <c r="EP48" s="128"/>
      <c r="EQ48" s="128">
        <v>0</v>
      </c>
      <c r="ER48" s="128">
        <v>13886.37</v>
      </c>
      <c r="ES48" s="128">
        <v>12409.36</v>
      </c>
      <c r="ET48" s="128">
        <v>48.7</v>
      </c>
      <c r="EU48" s="128">
        <v>0.97</v>
      </c>
      <c r="EV48" s="128">
        <v>1428.31</v>
      </c>
      <c r="EW48" s="128">
        <v>166.47</v>
      </c>
      <c r="EX48" s="128">
        <v>0.08</v>
      </c>
      <c r="EY48" s="128">
        <v>0</v>
      </c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>
        <v>0</v>
      </c>
      <c r="FR48" s="128">
        <f t="shared" si="40"/>
        <v>0</v>
      </c>
      <c r="FS48" s="128">
        <v>0</v>
      </c>
      <c r="FT48" s="128" t="s">
        <v>1</v>
      </c>
      <c r="FU48" s="128" t="s">
        <v>2</v>
      </c>
      <c r="FV48" s="128"/>
      <c r="FW48" s="128"/>
      <c r="FX48" s="128">
        <v>94.5</v>
      </c>
      <c r="FY48" s="128">
        <v>46.75</v>
      </c>
      <c r="FZ48" s="128"/>
      <c r="GA48" s="128"/>
      <c r="GB48" s="128"/>
      <c r="GC48" s="128"/>
      <c r="GD48" s="128">
        <v>1</v>
      </c>
      <c r="GE48" s="128"/>
      <c r="GF48" s="128">
        <v>-1172978027</v>
      </c>
      <c r="GG48" s="128">
        <v>2</v>
      </c>
      <c r="GH48" s="128">
        <v>1</v>
      </c>
      <c r="GI48" s="128">
        <v>-2</v>
      </c>
      <c r="GJ48" s="128">
        <v>0</v>
      </c>
      <c r="GK48" s="128">
        <v>0</v>
      </c>
      <c r="GL48" s="128">
        <f t="shared" si="41"/>
        <v>0</v>
      </c>
      <c r="GM48" s="128">
        <f t="shared" si="42"/>
        <v>62659</v>
      </c>
      <c r="GN48" s="128">
        <f t="shared" si="43"/>
        <v>62659</v>
      </c>
      <c r="GO48" s="128">
        <f t="shared" si="44"/>
        <v>0</v>
      </c>
      <c r="GP48" s="128">
        <f t="shared" si="45"/>
        <v>0</v>
      </c>
      <c r="GQ48" s="128"/>
      <c r="GR48" s="128">
        <v>0</v>
      </c>
      <c r="GS48" s="128">
        <v>0</v>
      </c>
      <c r="GT48" s="128">
        <v>0</v>
      </c>
      <c r="GU48" s="128"/>
      <c r="GV48" s="128">
        <f t="shared" si="46"/>
        <v>0</v>
      </c>
      <c r="GW48" s="128">
        <v>1</v>
      </c>
      <c r="GX48" s="128">
        <f t="shared" si="47"/>
        <v>0</v>
      </c>
      <c r="GY48" s="128"/>
      <c r="GZ48" s="128"/>
      <c r="HA48" s="128">
        <v>0</v>
      </c>
      <c r="HB48" s="128">
        <v>0</v>
      </c>
      <c r="HC48" s="128">
        <f t="shared" si="48"/>
        <v>0</v>
      </c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>
        <v>0</v>
      </c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</row>
    <row r="49" spans="1:255" x14ac:dyDescent="0.2">
      <c r="A49">
        <v>17</v>
      </c>
      <c r="B49">
        <v>1</v>
      </c>
      <c r="C49">
        <f>ROW(SmtRes!A94)</f>
        <v>94</v>
      </c>
      <c r="D49">
        <f>ROW(EtalonRes!A102)</f>
        <v>102</v>
      </c>
      <c r="E49" t="s">
        <v>123</v>
      </c>
      <c r="F49" t="s">
        <v>851</v>
      </c>
      <c r="G49" t="s">
        <v>852</v>
      </c>
      <c r="H49" t="s">
        <v>853</v>
      </c>
      <c r="I49">
        <f>ROUND(81.55/100,9)</f>
        <v>0.8155</v>
      </c>
      <c r="J49">
        <v>0</v>
      </c>
      <c r="O49">
        <f t="shared" si="14"/>
        <v>28253</v>
      </c>
      <c r="P49">
        <f t="shared" si="15"/>
        <v>1383</v>
      </c>
      <c r="Q49">
        <f t="shared" si="16"/>
        <v>420</v>
      </c>
      <c r="R49">
        <f t="shared" si="17"/>
        <v>19</v>
      </c>
      <c r="S49">
        <f t="shared" si="18"/>
        <v>26450</v>
      </c>
      <c r="T49">
        <f t="shared" si="19"/>
        <v>0</v>
      </c>
      <c r="U49">
        <f t="shared" si="20"/>
        <v>156.11972774999998</v>
      </c>
      <c r="V49">
        <f t="shared" si="21"/>
        <v>8.1550000000000011E-2</v>
      </c>
      <c r="W49">
        <f t="shared" si="22"/>
        <v>0</v>
      </c>
      <c r="X49">
        <f t="shared" si="23"/>
        <v>25146</v>
      </c>
      <c r="Y49">
        <f t="shared" si="24"/>
        <v>12440</v>
      </c>
      <c r="AA49">
        <v>51866571</v>
      </c>
      <c r="AB49">
        <f t="shared" si="25"/>
        <v>34645.250316999998</v>
      </c>
      <c r="AC49">
        <f>ROUND((SUM(SmtRes!BQ87:BQ94)),6)</f>
        <v>1695.9473069999999</v>
      </c>
      <c r="AD49">
        <f>ROUND((((SUM(SmtRes!BR87:BR94))-(SUM(SmtRes!BS87:BS94)))+AE49),6)</f>
        <v>515.45349999999996</v>
      </c>
      <c r="AE49">
        <f>ROUND((SUM(SmtRes!BS87:BS94)),6)</f>
        <v>23.91</v>
      </c>
      <c r="AF49">
        <f>ROUND((SUM(SmtRes!BT87:BT94)),6)</f>
        <v>32433.84951</v>
      </c>
      <c r="AG49">
        <f t="shared" si="27"/>
        <v>0</v>
      </c>
      <c r="AH49">
        <f>(SUM(SmtRes!BU87:BU94))</f>
        <v>191.44049999999999</v>
      </c>
      <c r="AI49">
        <f>(SUM(SmtRes!BV87:BV94))</f>
        <v>0.1</v>
      </c>
      <c r="AJ49">
        <f t="shared" si="28"/>
        <v>0</v>
      </c>
      <c r="AK49">
        <v>30311.657507</v>
      </c>
      <c r="AL49">
        <v>1695.9473069999999</v>
      </c>
      <c r="AM49">
        <v>412.36279999999999</v>
      </c>
      <c r="AN49">
        <v>19.128</v>
      </c>
      <c r="AO49">
        <v>28203.347399999999</v>
      </c>
      <c r="AP49">
        <v>0</v>
      </c>
      <c r="AQ49">
        <v>166.47</v>
      </c>
      <c r="AR49">
        <v>0.08</v>
      </c>
      <c r="AS49">
        <v>0</v>
      </c>
      <c r="AT49">
        <v>95</v>
      </c>
      <c r="AU49">
        <v>47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H49">
        <v>0</v>
      </c>
      <c r="BI49">
        <v>1</v>
      </c>
      <c r="BJ49" t="s">
        <v>854</v>
      </c>
      <c r="BM49">
        <v>15001</v>
      </c>
      <c r="BN49">
        <v>0</v>
      </c>
      <c r="BP49">
        <v>0</v>
      </c>
      <c r="BQ49">
        <v>2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Z49">
        <v>105</v>
      </c>
      <c r="CA49">
        <v>55</v>
      </c>
      <c r="CE49">
        <v>0</v>
      </c>
      <c r="CF49">
        <v>0</v>
      </c>
      <c r="CG49">
        <v>0</v>
      </c>
      <c r="CM49">
        <v>0</v>
      </c>
      <c r="CN49" t="s">
        <v>819</v>
      </c>
      <c r="CO49">
        <v>0</v>
      </c>
      <c r="CP49">
        <f t="shared" si="29"/>
        <v>28253</v>
      </c>
      <c r="CQ49">
        <f t="shared" si="30"/>
        <v>1695.9473069999999</v>
      </c>
      <c r="CR49">
        <f t="shared" si="31"/>
        <v>515.45349999999996</v>
      </c>
      <c r="CS49">
        <f t="shared" si="32"/>
        <v>23.91</v>
      </c>
      <c r="CT49">
        <f t="shared" si="33"/>
        <v>32433.84951</v>
      </c>
      <c r="CU49">
        <f t="shared" si="34"/>
        <v>0</v>
      </c>
      <c r="CV49">
        <f t="shared" si="35"/>
        <v>191.44049999999999</v>
      </c>
      <c r="CW49">
        <f t="shared" si="36"/>
        <v>0.1</v>
      </c>
      <c r="CX49">
        <f t="shared" si="37"/>
        <v>0</v>
      </c>
      <c r="CY49">
        <f t="shared" si="38"/>
        <v>25145.55</v>
      </c>
      <c r="CZ49">
        <f t="shared" si="39"/>
        <v>12440.43</v>
      </c>
      <c r="DE49" t="s">
        <v>820</v>
      </c>
      <c r="DF49" t="s">
        <v>820</v>
      </c>
      <c r="DG49" t="s">
        <v>821</v>
      </c>
      <c r="DI49" t="s">
        <v>821</v>
      </c>
      <c r="DJ49" t="s">
        <v>820</v>
      </c>
      <c r="DN49">
        <v>0</v>
      </c>
      <c r="DO49">
        <v>0</v>
      </c>
      <c r="DP49">
        <v>1</v>
      </c>
      <c r="DQ49">
        <v>1</v>
      </c>
      <c r="DU49">
        <v>1013</v>
      </c>
      <c r="DV49" t="s">
        <v>853</v>
      </c>
      <c r="DW49" t="s">
        <v>853</v>
      </c>
      <c r="DX49">
        <v>1</v>
      </c>
      <c r="EE49">
        <v>49587865</v>
      </c>
      <c r="EF49">
        <v>2</v>
      </c>
      <c r="EG49" t="s">
        <v>709</v>
      </c>
      <c r="EH49">
        <v>0</v>
      </c>
      <c r="EJ49">
        <v>1</v>
      </c>
      <c r="EK49">
        <v>15001</v>
      </c>
      <c r="EL49" t="s">
        <v>4</v>
      </c>
      <c r="EM49" t="s">
        <v>855</v>
      </c>
      <c r="EO49" t="s">
        <v>823</v>
      </c>
      <c r="EQ49">
        <v>0</v>
      </c>
      <c r="ER49">
        <v>13886.37</v>
      </c>
      <c r="ES49">
        <v>12409.36</v>
      </c>
      <c r="ET49">
        <v>48.7</v>
      </c>
      <c r="EU49">
        <v>0.97</v>
      </c>
      <c r="EV49">
        <v>1428.31</v>
      </c>
      <c r="EW49">
        <v>166.47</v>
      </c>
      <c r="EX49">
        <v>0.08</v>
      </c>
      <c r="EY49">
        <v>0</v>
      </c>
      <c r="FQ49">
        <v>0</v>
      </c>
      <c r="FR49">
        <f t="shared" si="40"/>
        <v>0</v>
      </c>
      <c r="FS49">
        <v>0</v>
      </c>
      <c r="FT49" t="s">
        <v>1</v>
      </c>
      <c r="FU49" t="s">
        <v>2</v>
      </c>
      <c r="FX49">
        <v>94.5</v>
      </c>
      <c r="FY49">
        <v>46.75</v>
      </c>
      <c r="GD49">
        <v>1</v>
      </c>
      <c r="GF49">
        <v>-1172978027</v>
      </c>
      <c r="GG49">
        <v>2</v>
      </c>
      <c r="GH49">
        <v>1</v>
      </c>
      <c r="GI49">
        <v>-2</v>
      </c>
      <c r="GJ49">
        <v>0</v>
      </c>
      <c r="GK49">
        <v>0</v>
      </c>
      <c r="GL49">
        <f t="shared" si="41"/>
        <v>0</v>
      </c>
      <c r="GM49">
        <f t="shared" si="42"/>
        <v>65839</v>
      </c>
      <c r="GN49">
        <f t="shared" si="43"/>
        <v>65839</v>
      </c>
      <c r="GO49">
        <f t="shared" si="44"/>
        <v>0</v>
      </c>
      <c r="GP49">
        <f t="shared" si="45"/>
        <v>0</v>
      </c>
      <c r="GR49">
        <v>0</v>
      </c>
      <c r="GS49">
        <v>3</v>
      </c>
      <c r="GT49">
        <v>0</v>
      </c>
      <c r="GV49">
        <f t="shared" si="46"/>
        <v>0</v>
      </c>
      <c r="GW49">
        <v>1</v>
      </c>
      <c r="GX49">
        <f t="shared" si="47"/>
        <v>0</v>
      </c>
      <c r="HA49">
        <v>0</v>
      </c>
      <c r="HB49">
        <v>0</v>
      </c>
      <c r="HC49">
        <f t="shared" si="48"/>
        <v>0</v>
      </c>
      <c r="IK49">
        <v>0</v>
      </c>
    </row>
    <row r="50" spans="1:255" x14ac:dyDescent="0.2">
      <c r="A50" s="128">
        <v>17</v>
      </c>
      <c r="B50" s="128">
        <v>1</v>
      </c>
      <c r="C50" s="128"/>
      <c r="D50" s="128"/>
      <c r="E50" s="128" t="s">
        <v>124</v>
      </c>
      <c r="F50" s="128" t="s">
        <v>856</v>
      </c>
      <c r="G50" s="128" t="s">
        <v>857</v>
      </c>
      <c r="H50" s="128" t="s">
        <v>117</v>
      </c>
      <c r="I50" s="128">
        <v>81.55</v>
      </c>
      <c r="J50" s="128">
        <v>0</v>
      </c>
      <c r="K50" s="128"/>
      <c r="L50" s="128"/>
      <c r="M50" s="128"/>
      <c r="N50" s="128"/>
      <c r="O50" s="128">
        <f t="shared" si="14"/>
        <v>30125</v>
      </c>
      <c r="P50" s="128">
        <f t="shared" si="15"/>
        <v>30125</v>
      </c>
      <c r="Q50" s="128">
        <f t="shared" si="16"/>
        <v>0</v>
      </c>
      <c r="R50" s="128">
        <f t="shared" si="17"/>
        <v>0</v>
      </c>
      <c r="S50" s="128">
        <f t="shared" si="18"/>
        <v>0</v>
      </c>
      <c r="T50" s="128">
        <f t="shared" si="19"/>
        <v>0</v>
      </c>
      <c r="U50" s="128">
        <f t="shared" si="20"/>
        <v>0</v>
      </c>
      <c r="V50" s="128">
        <f t="shared" si="21"/>
        <v>0</v>
      </c>
      <c r="W50" s="128">
        <f t="shared" si="22"/>
        <v>0</v>
      </c>
      <c r="X50" s="128">
        <f t="shared" si="23"/>
        <v>0</v>
      </c>
      <c r="Y50" s="128">
        <f t="shared" si="24"/>
        <v>0</v>
      </c>
      <c r="Z50" s="128"/>
      <c r="AA50" s="128">
        <v>51866573</v>
      </c>
      <c r="AB50" s="128">
        <f t="shared" si="25"/>
        <v>369.4</v>
      </c>
      <c r="AC50" s="128">
        <f>ROUND((ES50),6)</f>
        <v>369.4</v>
      </c>
      <c r="AD50" s="128">
        <f>ROUND((((ET50)-(EU50))+AE50),6)</f>
        <v>0</v>
      </c>
      <c r="AE50" s="128">
        <f t="shared" ref="AE50:AF53" si="53">ROUND((EU50),6)</f>
        <v>0</v>
      </c>
      <c r="AF50" s="128">
        <f t="shared" si="53"/>
        <v>0</v>
      </c>
      <c r="AG50" s="128">
        <f t="shared" si="27"/>
        <v>0</v>
      </c>
      <c r="AH50" s="128">
        <f t="shared" ref="AH50:AI53" si="54">(EW50)</f>
        <v>0</v>
      </c>
      <c r="AI50" s="128">
        <f t="shared" si="54"/>
        <v>0</v>
      </c>
      <c r="AJ50" s="128">
        <f t="shared" si="28"/>
        <v>0</v>
      </c>
      <c r="AK50" s="128">
        <v>369.4</v>
      </c>
      <c r="AL50" s="128">
        <v>369.4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1</v>
      </c>
      <c r="AW50" s="128">
        <v>1</v>
      </c>
      <c r="AX50" s="128"/>
      <c r="AY50" s="128"/>
      <c r="AZ50" s="128">
        <v>1</v>
      </c>
      <c r="BA50" s="128">
        <v>1</v>
      </c>
      <c r="BB50" s="128">
        <v>1</v>
      </c>
      <c r="BC50" s="128">
        <v>1</v>
      </c>
      <c r="BD50" s="128"/>
      <c r="BE50" s="128"/>
      <c r="BF50" s="128"/>
      <c r="BG50" s="128"/>
      <c r="BH50" s="128">
        <v>3</v>
      </c>
      <c r="BI50" s="128">
        <v>1</v>
      </c>
      <c r="BJ50" s="128" t="s">
        <v>858</v>
      </c>
      <c r="BK50" s="128"/>
      <c r="BL50" s="128"/>
      <c r="BM50" s="128">
        <v>500001</v>
      </c>
      <c r="BN50" s="128">
        <v>0</v>
      </c>
      <c r="BO50" s="128"/>
      <c r="BP50" s="128">
        <v>0</v>
      </c>
      <c r="BQ50" s="128">
        <v>8</v>
      </c>
      <c r="BR50" s="128">
        <v>0</v>
      </c>
      <c r="BS50" s="128">
        <v>1</v>
      </c>
      <c r="BT50" s="128">
        <v>1</v>
      </c>
      <c r="BU50" s="128">
        <v>1</v>
      </c>
      <c r="BV50" s="128">
        <v>1</v>
      </c>
      <c r="BW50" s="128">
        <v>1</v>
      </c>
      <c r="BX50" s="128">
        <v>1</v>
      </c>
      <c r="BY50" s="128"/>
      <c r="BZ50" s="128">
        <v>0</v>
      </c>
      <c r="CA50" s="128">
        <v>0</v>
      </c>
      <c r="CB50" s="128"/>
      <c r="CC50" s="128"/>
      <c r="CD50" s="128"/>
      <c r="CE50" s="128">
        <v>0</v>
      </c>
      <c r="CF50" s="128">
        <v>0</v>
      </c>
      <c r="CG50" s="128">
        <v>0</v>
      </c>
      <c r="CH50" s="128"/>
      <c r="CI50" s="128"/>
      <c r="CJ50" s="128"/>
      <c r="CK50" s="128"/>
      <c r="CL50" s="128"/>
      <c r="CM50" s="128">
        <v>0</v>
      </c>
      <c r="CN50" s="128"/>
      <c r="CO50" s="128">
        <v>0</v>
      </c>
      <c r="CP50" s="128">
        <f t="shared" si="29"/>
        <v>30125</v>
      </c>
      <c r="CQ50" s="128">
        <f t="shared" si="30"/>
        <v>369.4</v>
      </c>
      <c r="CR50" s="128">
        <f t="shared" si="31"/>
        <v>0</v>
      </c>
      <c r="CS50" s="128">
        <f t="shared" si="32"/>
        <v>0</v>
      </c>
      <c r="CT50" s="128">
        <f t="shared" si="33"/>
        <v>0</v>
      </c>
      <c r="CU50" s="128">
        <f t="shared" si="34"/>
        <v>0</v>
      </c>
      <c r="CV50" s="128">
        <f t="shared" si="35"/>
        <v>0</v>
      </c>
      <c r="CW50" s="128">
        <f t="shared" si="36"/>
        <v>0</v>
      </c>
      <c r="CX50" s="128">
        <f t="shared" si="37"/>
        <v>0</v>
      </c>
      <c r="CY50" s="128">
        <f t="shared" si="38"/>
        <v>0</v>
      </c>
      <c r="CZ50" s="128">
        <f t="shared" si="39"/>
        <v>0</v>
      </c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>
        <v>0</v>
      </c>
      <c r="DO50" s="128">
        <v>0</v>
      </c>
      <c r="DP50" s="128">
        <v>1</v>
      </c>
      <c r="DQ50" s="128">
        <v>1</v>
      </c>
      <c r="DR50" s="128"/>
      <c r="DS50" s="128"/>
      <c r="DT50" s="128"/>
      <c r="DU50" s="128">
        <v>1005</v>
      </c>
      <c r="DV50" s="128" t="s">
        <v>117</v>
      </c>
      <c r="DW50" s="128" t="s">
        <v>117</v>
      </c>
      <c r="DX50" s="128">
        <v>1</v>
      </c>
      <c r="DY50" s="128"/>
      <c r="DZ50" s="128"/>
      <c r="EA50" s="128"/>
      <c r="EB50" s="128"/>
      <c r="EC50" s="128"/>
      <c r="ED50" s="128"/>
      <c r="EE50" s="128">
        <v>49587772</v>
      </c>
      <c r="EF50" s="128">
        <v>8</v>
      </c>
      <c r="EG50" s="128" t="s">
        <v>827</v>
      </c>
      <c r="EH50" s="128">
        <v>0</v>
      </c>
      <c r="EI50" s="128"/>
      <c r="EJ50" s="128">
        <v>1</v>
      </c>
      <c r="EK50" s="128">
        <v>500001</v>
      </c>
      <c r="EL50" s="128" t="s">
        <v>7</v>
      </c>
      <c r="EM50" s="128" t="s">
        <v>828</v>
      </c>
      <c r="EN50" s="128"/>
      <c r="EO50" s="128"/>
      <c r="EP50" s="128"/>
      <c r="EQ50" s="128">
        <v>0</v>
      </c>
      <c r="ER50" s="128">
        <v>369.4</v>
      </c>
      <c r="ES50" s="128">
        <v>369.4</v>
      </c>
      <c r="ET50" s="128">
        <v>0</v>
      </c>
      <c r="EU50" s="128">
        <v>0</v>
      </c>
      <c r="EV50" s="128">
        <v>0</v>
      </c>
      <c r="EW50" s="128">
        <v>0</v>
      </c>
      <c r="EX50" s="128">
        <v>0</v>
      </c>
      <c r="EY50" s="128">
        <v>0</v>
      </c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>
        <v>0</v>
      </c>
      <c r="FR50" s="128">
        <f t="shared" si="40"/>
        <v>0</v>
      </c>
      <c r="FS50" s="128">
        <v>0</v>
      </c>
      <c r="FT50" s="128"/>
      <c r="FU50" s="128"/>
      <c r="FV50" s="128"/>
      <c r="FW50" s="128"/>
      <c r="FX50" s="128">
        <v>0</v>
      </c>
      <c r="FY50" s="128">
        <v>0</v>
      </c>
      <c r="FZ50" s="128"/>
      <c r="GA50" s="128"/>
      <c r="GB50" s="128"/>
      <c r="GC50" s="128"/>
      <c r="GD50" s="128">
        <v>1</v>
      </c>
      <c r="GE50" s="128"/>
      <c r="GF50" s="128">
        <v>2135277015</v>
      </c>
      <c r="GG50" s="128">
        <v>2</v>
      </c>
      <c r="GH50" s="128">
        <v>1</v>
      </c>
      <c r="GI50" s="128">
        <v>-2</v>
      </c>
      <c r="GJ50" s="128">
        <v>0</v>
      </c>
      <c r="GK50" s="128">
        <v>0</v>
      </c>
      <c r="GL50" s="128">
        <f t="shared" si="41"/>
        <v>0</v>
      </c>
      <c r="GM50" s="128">
        <f t="shared" si="42"/>
        <v>30125</v>
      </c>
      <c r="GN50" s="128">
        <f t="shared" si="43"/>
        <v>30125</v>
      </c>
      <c r="GO50" s="128">
        <f t="shared" si="44"/>
        <v>0</v>
      </c>
      <c r="GP50" s="128">
        <f t="shared" si="45"/>
        <v>0</v>
      </c>
      <c r="GQ50" s="128"/>
      <c r="GR50" s="128">
        <v>0</v>
      </c>
      <c r="GS50" s="128">
        <v>3</v>
      </c>
      <c r="GT50" s="128">
        <v>0</v>
      </c>
      <c r="GU50" s="128"/>
      <c r="GV50" s="128">
        <f t="shared" si="46"/>
        <v>0</v>
      </c>
      <c r="GW50" s="128">
        <v>1</v>
      </c>
      <c r="GX50" s="128">
        <f t="shared" si="47"/>
        <v>0</v>
      </c>
      <c r="GY50" s="128"/>
      <c r="GZ50" s="128"/>
      <c r="HA50" s="128">
        <v>0</v>
      </c>
      <c r="HB50" s="128">
        <v>0</v>
      </c>
      <c r="HC50" s="128">
        <f t="shared" si="48"/>
        <v>0</v>
      </c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>
        <v>0</v>
      </c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</row>
    <row r="51" spans="1:255" x14ac:dyDescent="0.2">
      <c r="A51">
        <v>17</v>
      </c>
      <c r="B51">
        <v>1</v>
      </c>
      <c r="E51" t="s">
        <v>124</v>
      </c>
      <c r="F51" t="s">
        <v>856</v>
      </c>
      <c r="G51" t="s">
        <v>857</v>
      </c>
      <c r="H51" t="s">
        <v>117</v>
      </c>
      <c r="I51">
        <v>81.55</v>
      </c>
      <c r="J51">
        <v>0</v>
      </c>
      <c r="O51">
        <f t="shared" si="14"/>
        <v>20895</v>
      </c>
      <c r="P51">
        <f t="shared" si="15"/>
        <v>20895</v>
      </c>
      <c r="Q51">
        <f t="shared" si="16"/>
        <v>0</v>
      </c>
      <c r="R51">
        <f t="shared" si="17"/>
        <v>0</v>
      </c>
      <c r="S51">
        <f t="shared" si="18"/>
        <v>0</v>
      </c>
      <c r="T51">
        <f t="shared" si="19"/>
        <v>0</v>
      </c>
      <c r="U51">
        <f t="shared" si="20"/>
        <v>0</v>
      </c>
      <c r="V51">
        <f t="shared" si="21"/>
        <v>0</v>
      </c>
      <c r="W51">
        <f t="shared" si="22"/>
        <v>0</v>
      </c>
      <c r="X51">
        <f t="shared" si="23"/>
        <v>0</v>
      </c>
      <c r="Y51">
        <f t="shared" si="24"/>
        <v>0</v>
      </c>
      <c r="AA51">
        <v>51866571</v>
      </c>
      <c r="AB51">
        <f t="shared" si="25"/>
        <v>256.22000000000003</v>
      </c>
      <c r="AC51">
        <f>ROUND((ES51),6)</f>
        <v>256.22000000000003</v>
      </c>
      <c r="AD51">
        <f>ROUND((((ET51)-(EU51))+AE51),6)</f>
        <v>0</v>
      </c>
      <c r="AE51">
        <f t="shared" si="53"/>
        <v>0</v>
      </c>
      <c r="AF51">
        <f t="shared" si="53"/>
        <v>0</v>
      </c>
      <c r="AG51">
        <f t="shared" si="27"/>
        <v>0</v>
      </c>
      <c r="AH51">
        <f t="shared" si="54"/>
        <v>0</v>
      </c>
      <c r="AI51">
        <f t="shared" si="54"/>
        <v>0</v>
      </c>
      <c r="AJ51">
        <f t="shared" si="28"/>
        <v>0</v>
      </c>
      <c r="AK51">
        <v>256.22000000000003</v>
      </c>
      <c r="AL51">
        <v>256.22000000000003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H51">
        <v>3</v>
      </c>
      <c r="BI51">
        <v>1</v>
      </c>
      <c r="BJ51" t="s">
        <v>858</v>
      </c>
      <c r="BM51">
        <v>500001</v>
      </c>
      <c r="BN51">
        <v>0</v>
      </c>
      <c r="BP51">
        <v>0</v>
      </c>
      <c r="BQ51">
        <v>8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Z51">
        <v>0</v>
      </c>
      <c r="CA51">
        <v>0</v>
      </c>
      <c r="CE51">
        <v>0</v>
      </c>
      <c r="CF51">
        <v>0</v>
      </c>
      <c r="CG51">
        <v>0</v>
      </c>
      <c r="CM51">
        <v>0</v>
      </c>
      <c r="CO51">
        <v>0</v>
      </c>
      <c r="CP51">
        <f t="shared" si="29"/>
        <v>20895</v>
      </c>
      <c r="CQ51">
        <f t="shared" si="30"/>
        <v>256.22000000000003</v>
      </c>
      <c r="CR51">
        <f t="shared" si="31"/>
        <v>0</v>
      </c>
      <c r="CS51">
        <f t="shared" si="32"/>
        <v>0</v>
      </c>
      <c r="CT51">
        <f t="shared" si="33"/>
        <v>0</v>
      </c>
      <c r="CU51">
        <f t="shared" si="34"/>
        <v>0</v>
      </c>
      <c r="CV51">
        <f t="shared" si="35"/>
        <v>0</v>
      </c>
      <c r="CW51">
        <f t="shared" si="36"/>
        <v>0</v>
      </c>
      <c r="CX51">
        <f t="shared" si="37"/>
        <v>0</v>
      </c>
      <c r="CY51">
        <f t="shared" si="38"/>
        <v>0</v>
      </c>
      <c r="CZ51">
        <f t="shared" si="39"/>
        <v>0</v>
      </c>
      <c r="DN51">
        <v>0</v>
      </c>
      <c r="DO51">
        <v>0</v>
      </c>
      <c r="DP51">
        <v>1</v>
      </c>
      <c r="DQ51">
        <v>1</v>
      </c>
      <c r="DU51">
        <v>1005</v>
      </c>
      <c r="DV51" t="s">
        <v>117</v>
      </c>
      <c r="DW51" t="s">
        <v>117</v>
      </c>
      <c r="DX51">
        <v>1</v>
      </c>
      <c r="EE51">
        <v>49587772</v>
      </c>
      <c r="EF51">
        <v>8</v>
      </c>
      <c r="EG51" t="s">
        <v>827</v>
      </c>
      <c r="EH51">
        <v>0</v>
      </c>
      <c r="EJ51">
        <v>1</v>
      </c>
      <c r="EK51">
        <v>500001</v>
      </c>
      <c r="EL51" t="s">
        <v>7</v>
      </c>
      <c r="EM51" t="s">
        <v>828</v>
      </c>
      <c r="EQ51">
        <v>0</v>
      </c>
      <c r="ER51">
        <v>256.22000000000003</v>
      </c>
      <c r="ES51">
        <v>256.22000000000003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FQ51">
        <v>0</v>
      </c>
      <c r="FR51">
        <f t="shared" si="40"/>
        <v>0</v>
      </c>
      <c r="FS51">
        <v>0</v>
      </c>
      <c r="FX51">
        <v>0</v>
      </c>
      <c r="FY51">
        <v>0</v>
      </c>
      <c r="GD51">
        <v>1</v>
      </c>
      <c r="GE51">
        <v>369.4</v>
      </c>
      <c r="GF51">
        <v>2135277015</v>
      </c>
      <c r="GG51">
        <v>2</v>
      </c>
      <c r="GH51">
        <v>1</v>
      </c>
      <c r="GI51">
        <v>-2</v>
      </c>
      <c r="GJ51">
        <v>0</v>
      </c>
      <c r="GK51">
        <v>0</v>
      </c>
      <c r="GL51">
        <f t="shared" si="41"/>
        <v>0</v>
      </c>
      <c r="GM51">
        <f t="shared" si="42"/>
        <v>20895</v>
      </c>
      <c r="GN51">
        <f t="shared" si="43"/>
        <v>20895</v>
      </c>
      <c r="GO51">
        <f t="shared" si="44"/>
        <v>0</v>
      </c>
      <c r="GP51">
        <f t="shared" si="45"/>
        <v>0</v>
      </c>
      <c r="GR51">
        <v>3</v>
      </c>
      <c r="GS51">
        <v>3</v>
      </c>
      <c r="GT51">
        <v>0</v>
      </c>
      <c r="GV51">
        <f t="shared" si="46"/>
        <v>0</v>
      </c>
      <c r="GW51">
        <v>1</v>
      </c>
      <c r="GX51">
        <f t="shared" si="47"/>
        <v>0</v>
      </c>
      <c r="HA51">
        <v>0</v>
      </c>
      <c r="HB51">
        <v>0</v>
      </c>
      <c r="HC51">
        <f t="shared" si="48"/>
        <v>0</v>
      </c>
      <c r="IK51">
        <v>0</v>
      </c>
    </row>
    <row r="52" spans="1:255" x14ac:dyDescent="0.2">
      <c r="A52" s="128">
        <v>17</v>
      </c>
      <c r="B52" s="128">
        <v>1</v>
      </c>
      <c r="C52" s="128"/>
      <c r="D52" s="128"/>
      <c r="E52" s="128" t="s">
        <v>126</v>
      </c>
      <c r="F52" s="128" t="s">
        <v>859</v>
      </c>
      <c r="G52" s="128" t="s">
        <v>860</v>
      </c>
      <c r="H52" s="128" t="s">
        <v>117</v>
      </c>
      <c r="I52" s="128">
        <v>40</v>
      </c>
      <c r="J52" s="128">
        <v>0</v>
      </c>
      <c r="K52" s="128"/>
      <c r="L52" s="128"/>
      <c r="M52" s="128"/>
      <c r="N52" s="128"/>
      <c r="O52" s="128">
        <f t="shared" si="14"/>
        <v>4396</v>
      </c>
      <c r="P52" s="128">
        <f t="shared" si="15"/>
        <v>4396</v>
      </c>
      <c r="Q52" s="128">
        <f t="shared" si="16"/>
        <v>0</v>
      </c>
      <c r="R52" s="128">
        <f t="shared" si="17"/>
        <v>0</v>
      </c>
      <c r="S52" s="128">
        <f t="shared" si="18"/>
        <v>0</v>
      </c>
      <c r="T52" s="128">
        <f t="shared" si="19"/>
        <v>0</v>
      </c>
      <c r="U52" s="128">
        <f t="shared" si="20"/>
        <v>0</v>
      </c>
      <c r="V52" s="128">
        <f t="shared" si="21"/>
        <v>0</v>
      </c>
      <c r="W52" s="128">
        <f t="shared" si="22"/>
        <v>0</v>
      </c>
      <c r="X52" s="128">
        <f t="shared" si="23"/>
        <v>0</v>
      </c>
      <c r="Y52" s="128">
        <f t="shared" si="24"/>
        <v>0</v>
      </c>
      <c r="Z52" s="128"/>
      <c r="AA52" s="128">
        <v>51866573</v>
      </c>
      <c r="AB52" s="128">
        <f t="shared" si="25"/>
        <v>109.89</v>
      </c>
      <c r="AC52" s="128">
        <f>ROUND((ES52),6)</f>
        <v>109.89</v>
      </c>
      <c r="AD52" s="128">
        <f>ROUND((((ET52)-(EU52))+AE52),6)</f>
        <v>0</v>
      </c>
      <c r="AE52" s="128">
        <f t="shared" si="53"/>
        <v>0</v>
      </c>
      <c r="AF52" s="128">
        <f t="shared" si="53"/>
        <v>0</v>
      </c>
      <c r="AG52" s="128">
        <f t="shared" si="27"/>
        <v>0</v>
      </c>
      <c r="AH52" s="128">
        <f t="shared" si="54"/>
        <v>0</v>
      </c>
      <c r="AI52" s="128">
        <f t="shared" si="54"/>
        <v>0</v>
      </c>
      <c r="AJ52" s="128">
        <f t="shared" si="28"/>
        <v>0</v>
      </c>
      <c r="AK52" s="128">
        <v>109.89</v>
      </c>
      <c r="AL52" s="128">
        <v>109.89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1</v>
      </c>
      <c r="AW52" s="128">
        <v>1</v>
      </c>
      <c r="AX52" s="128"/>
      <c r="AY52" s="128"/>
      <c r="AZ52" s="128">
        <v>1</v>
      </c>
      <c r="BA52" s="128">
        <v>1</v>
      </c>
      <c r="BB52" s="128">
        <v>1</v>
      </c>
      <c r="BC52" s="128">
        <v>1</v>
      </c>
      <c r="BD52" s="128"/>
      <c r="BE52" s="128"/>
      <c r="BF52" s="128"/>
      <c r="BG52" s="128"/>
      <c r="BH52" s="128">
        <v>3</v>
      </c>
      <c r="BI52" s="128">
        <v>1</v>
      </c>
      <c r="BJ52" s="128" t="s">
        <v>861</v>
      </c>
      <c r="BK52" s="128"/>
      <c r="BL52" s="128"/>
      <c r="BM52" s="128">
        <v>500001</v>
      </c>
      <c r="BN52" s="128">
        <v>0</v>
      </c>
      <c r="BO52" s="128"/>
      <c r="BP52" s="128">
        <v>0</v>
      </c>
      <c r="BQ52" s="128">
        <v>8</v>
      </c>
      <c r="BR52" s="128">
        <v>0</v>
      </c>
      <c r="BS52" s="128">
        <v>1</v>
      </c>
      <c r="BT52" s="128">
        <v>1</v>
      </c>
      <c r="BU52" s="128">
        <v>1</v>
      </c>
      <c r="BV52" s="128">
        <v>1</v>
      </c>
      <c r="BW52" s="128">
        <v>1</v>
      </c>
      <c r="BX52" s="128">
        <v>1</v>
      </c>
      <c r="BY52" s="128"/>
      <c r="BZ52" s="128">
        <v>0</v>
      </c>
      <c r="CA52" s="128">
        <v>0</v>
      </c>
      <c r="CB52" s="128"/>
      <c r="CC52" s="128"/>
      <c r="CD52" s="128"/>
      <c r="CE52" s="128">
        <v>0</v>
      </c>
      <c r="CF52" s="128">
        <v>0</v>
      </c>
      <c r="CG52" s="128">
        <v>0</v>
      </c>
      <c r="CH52" s="128"/>
      <c r="CI52" s="128"/>
      <c r="CJ52" s="128"/>
      <c r="CK52" s="128"/>
      <c r="CL52" s="128"/>
      <c r="CM52" s="128">
        <v>0</v>
      </c>
      <c r="CN52" s="128"/>
      <c r="CO52" s="128">
        <v>0</v>
      </c>
      <c r="CP52" s="128">
        <f t="shared" si="29"/>
        <v>4396</v>
      </c>
      <c r="CQ52" s="128">
        <f t="shared" si="30"/>
        <v>109.89</v>
      </c>
      <c r="CR52" s="128">
        <f t="shared" si="31"/>
        <v>0</v>
      </c>
      <c r="CS52" s="128">
        <f t="shared" si="32"/>
        <v>0</v>
      </c>
      <c r="CT52" s="128">
        <f t="shared" si="33"/>
        <v>0</v>
      </c>
      <c r="CU52" s="128">
        <f t="shared" si="34"/>
        <v>0</v>
      </c>
      <c r="CV52" s="128">
        <f t="shared" si="35"/>
        <v>0</v>
      </c>
      <c r="CW52" s="128">
        <f t="shared" si="36"/>
        <v>0</v>
      </c>
      <c r="CX52" s="128">
        <f t="shared" si="37"/>
        <v>0</v>
      </c>
      <c r="CY52" s="128">
        <f t="shared" si="38"/>
        <v>0</v>
      </c>
      <c r="CZ52" s="128">
        <f t="shared" si="39"/>
        <v>0</v>
      </c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>
        <v>0</v>
      </c>
      <c r="DO52" s="128">
        <v>0</v>
      </c>
      <c r="DP52" s="128">
        <v>1</v>
      </c>
      <c r="DQ52" s="128">
        <v>1</v>
      </c>
      <c r="DR52" s="128"/>
      <c r="DS52" s="128"/>
      <c r="DT52" s="128"/>
      <c r="DU52" s="128">
        <v>1005</v>
      </c>
      <c r="DV52" s="128" t="s">
        <v>117</v>
      </c>
      <c r="DW52" s="128" t="s">
        <v>117</v>
      </c>
      <c r="DX52" s="128">
        <v>1</v>
      </c>
      <c r="DY52" s="128"/>
      <c r="DZ52" s="128"/>
      <c r="EA52" s="128"/>
      <c r="EB52" s="128"/>
      <c r="EC52" s="128"/>
      <c r="ED52" s="128"/>
      <c r="EE52" s="128">
        <v>49587772</v>
      </c>
      <c r="EF52" s="128">
        <v>8</v>
      </c>
      <c r="EG52" s="128" t="s">
        <v>827</v>
      </c>
      <c r="EH52" s="128">
        <v>0</v>
      </c>
      <c r="EI52" s="128"/>
      <c r="EJ52" s="128">
        <v>1</v>
      </c>
      <c r="EK52" s="128">
        <v>500001</v>
      </c>
      <c r="EL52" s="128" t="s">
        <v>7</v>
      </c>
      <c r="EM52" s="128" t="s">
        <v>828</v>
      </c>
      <c r="EN52" s="128"/>
      <c r="EO52" s="128"/>
      <c r="EP52" s="128"/>
      <c r="EQ52" s="128">
        <v>1048576</v>
      </c>
      <c r="ER52" s="128">
        <v>109.89</v>
      </c>
      <c r="ES52" s="128">
        <v>109.89</v>
      </c>
      <c r="ET52" s="128">
        <v>0</v>
      </c>
      <c r="EU52" s="128">
        <v>0</v>
      </c>
      <c r="EV52" s="128">
        <v>0</v>
      </c>
      <c r="EW52" s="128">
        <v>0</v>
      </c>
      <c r="EX52" s="128">
        <v>0</v>
      </c>
      <c r="EY52" s="128">
        <v>0</v>
      </c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>
        <v>0</v>
      </c>
      <c r="FR52" s="128">
        <f t="shared" si="40"/>
        <v>0</v>
      </c>
      <c r="FS52" s="128">
        <v>0</v>
      </c>
      <c r="FT52" s="128"/>
      <c r="FU52" s="128"/>
      <c r="FV52" s="128"/>
      <c r="FW52" s="128"/>
      <c r="FX52" s="128">
        <v>0</v>
      </c>
      <c r="FY52" s="128">
        <v>0</v>
      </c>
      <c r="FZ52" s="128"/>
      <c r="GA52" s="128"/>
      <c r="GB52" s="128"/>
      <c r="GC52" s="128"/>
      <c r="GD52" s="128">
        <v>1</v>
      </c>
      <c r="GE52" s="128"/>
      <c r="GF52" s="128">
        <v>-772152063</v>
      </c>
      <c r="GG52" s="128">
        <v>2</v>
      </c>
      <c r="GH52" s="128">
        <v>1</v>
      </c>
      <c r="GI52" s="128">
        <v>-2</v>
      </c>
      <c r="GJ52" s="128">
        <v>0</v>
      </c>
      <c r="GK52" s="128">
        <v>0</v>
      </c>
      <c r="GL52" s="128">
        <f t="shared" si="41"/>
        <v>0</v>
      </c>
      <c r="GM52" s="128">
        <f t="shared" si="42"/>
        <v>4396</v>
      </c>
      <c r="GN52" s="128">
        <f t="shared" si="43"/>
        <v>4396</v>
      </c>
      <c r="GO52" s="128">
        <f t="shared" si="44"/>
        <v>0</v>
      </c>
      <c r="GP52" s="128">
        <f t="shared" si="45"/>
        <v>0</v>
      </c>
      <c r="GQ52" s="128"/>
      <c r="GR52" s="128">
        <v>0</v>
      </c>
      <c r="GS52" s="128">
        <v>3</v>
      </c>
      <c r="GT52" s="128">
        <v>0</v>
      </c>
      <c r="GU52" s="128"/>
      <c r="GV52" s="128">
        <f t="shared" si="46"/>
        <v>0</v>
      </c>
      <c r="GW52" s="128">
        <v>1</v>
      </c>
      <c r="GX52" s="128">
        <f t="shared" si="47"/>
        <v>0</v>
      </c>
      <c r="GY52" s="128"/>
      <c r="GZ52" s="128"/>
      <c r="HA52" s="128">
        <v>0</v>
      </c>
      <c r="HB52" s="128">
        <v>0</v>
      </c>
      <c r="HC52" s="128">
        <f t="shared" si="48"/>
        <v>0</v>
      </c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>
        <v>0</v>
      </c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</row>
    <row r="53" spans="1:255" x14ac:dyDescent="0.2">
      <c r="A53">
        <v>17</v>
      </c>
      <c r="B53">
        <v>1</v>
      </c>
      <c r="E53" t="s">
        <v>126</v>
      </c>
      <c r="F53" t="s">
        <v>859</v>
      </c>
      <c r="G53" t="s">
        <v>860</v>
      </c>
      <c r="H53" t="s">
        <v>117</v>
      </c>
      <c r="I53">
        <v>40</v>
      </c>
      <c r="J53">
        <v>0</v>
      </c>
      <c r="O53">
        <f t="shared" si="14"/>
        <v>9634</v>
      </c>
      <c r="P53">
        <f t="shared" si="15"/>
        <v>9634</v>
      </c>
      <c r="Q53">
        <f t="shared" si="16"/>
        <v>0</v>
      </c>
      <c r="R53">
        <f t="shared" si="17"/>
        <v>0</v>
      </c>
      <c r="S53">
        <f t="shared" si="18"/>
        <v>0</v>
      </c>
      <c r="T53">
        <f t="shared" si="19"/>
        <v>0</v>
      </c>
      <c r="U53">
        <f t="shared" si="20"/>
        <v>0</v>
      </c>
      <c r="V53">
        <f t="shared" si="21"/>
        <v>0</v>
      </c>
      <c r="W53">
        <f t="shared" si="22"/>
        <v>0</v>
      </c>
      <c r="X53">
        <f t="shared" si="23"/>
        <v>0</v>
      </c>
      <c r="Y53">
        <f t="shared" si="24"/>
        <v>0</v>
      </c>
      <c r="AA53">
        <v>51866571</v>
      </c>
      <c r="AB53">
        <f t="shared" si="25"/>
        <v>240.85</v>
      </c>
      <c r="AC53">
        <f>ROUND((ES53),6)</f>
        <v>240.85</v>
      </c>
      <c r="AD53">
        <f>ROUND((((ET53)-(EU53))+AE53),6)</f>
        <v>0</v>
      </c>
      <c r="AE53">
        <f t="shared" si="53"/>
        <v>0</v>
      </c>
      <c r="AF53">
        <f t="shared" si="53"/>
        <v>0</v>
      </c>
      <c r="AG53">
        <f t="shared" si="27"/>
        <v>0</v>
      </c>
      <c r="AH53">
        <f t="shared" si="54"/>
        <v>0</v>
      </c>
      <c r="AI53">
        <f t="shared" si="54"/>
        <v>0</v>
      </c>
      <c r="AJ53">
        <f t="shared" si="28"/>
        <v>0</v>
      </c>
      <c r="AK53">
        <v>240.85</v>
      </c>
      <c r="AL53">
        <v>240.85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1</v>
      </c>
      <c r="BH53">
        <v>3</v>
      </c>
      <c r="BI53">
        <v>1</v>
      </c>
      <c r="BJ53" t="s">
        <v>861</v>
      </c>
      <c r="BM53">
        <v>500001</v>
      </c>
      <c r="BN53">
        <v>0</v>
      </c>
      <c r="BP53">
        <v>0</v>
      </c>
      <c r="BQ53">
        <v>8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Z53">
        <v>0</v>
      </c>
      <c r="CA53">
        <v>0</v>
      </c>
      <c r="CE53">
        <v>0</v>
      </c>
      <c r="CF53">
        <v>0</v>
      </c>
      <c r="CG53">
        <v>0</v>
      </c>
      <c r="CM53">
        <v>0</v>
      </c>
      <c r="CO53">
        <v>0</v>
      </c>
      <c r="CP53">
        <f t="shared" si="29"/>
        <v>9634</v>
      </c>
      <c r="CQ53">
        <f t="shared" si="30"/>
        <v>240.85</v>
      </c>
      <c r="CR53">
        <f t="shared" si="31"/>
        <v>0</v>
      </c>
      <c r="CS53">
        <f t="shared" si="32"/>
        <v>0</v>
      </c>
      <c r="CT53">
        <f t="shared" si="33"/>
        <v>0</v>
      </c>
      <c r="CU53">
        <f t="shared" si="34"/>
        <v>0</v>
      </c>
      <c r="CV53">
        <f t="shared" si="35"/>
        <v>0</v>
      </c>
      <c r="CW53">
        <f t="shared" si="36"/>
        <v>0</v>
      </c>
      <c r="CX53">
        <f t="shared" si="37"/>
        <v>0</v>
      </c>
      <c r="CY53">
        <f t="shared" si="38"/>
        <v>0</v>
      </c>
      <c r="CZ53">
        <f t="shared" si="39"/>
        <v>0</v>
      </c>
      <c r="DN53">
        <v>0</v>
      </c>
      <c r="DO53">
        <v>0</v>
      </c>
      <c r="DP53">
        <v>1</v>
      </c>
      <c r="DQ53">
        <v>1</v>
      </c>
      <c r="DU53">
        <v>1005</v>
      </c>
      <c r="DV53" t="s">
        <v>117</v>
      </c>
      <c r="DW53" t="s">
        <v>117</v>
      </c>
      <c r="DX53">
        <v>1</v>
      </c>
      <c r="EE53">
        <v>49587772</v>
      </c>
      <c r="EF53">
        <v>8</v>
      </c>
      <c r="EG53" t="s">
        <v>827</v>
      </c>
      <c r="EH53">
        <v>0</v>
      </c>
      <c r="EJ53">
        <v>1</v>
      </c>
      <c r="EK53">
        <v>500001</v>
      </c>
      <c r="EL53" t="s">
        <v>7</v>
      </c>
      <c r="EM53" t="s">
        <v>828</v>
      </c>
      <c r="EQ53">
        <v>1048576</v>
      </c>
      <c r="ER53">
        <v>240.85</v>
      </c>
      <c r="ES53">
        <v>240.85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FQ53">
        <v>0</v>
      </c>
      <c r="FR53">
        <f t="shared" si="40"/>
        <v>0</v>
      </c>
      <c r="FS53">
        <v>0</v>
      </c>
      <c r="FX53">
        <v>0</v>
      </c>
      <c r="FY53">
        <v>0</v>
      </c>
      <c r="GD53">
        <v>1</v>
      </c>
      <c r="GE53">
        <v>109.89</v>
      </c>
      <c r="GF53">
        <v>-772152063</v>
      </c>
      <c r="GG53">
        <v>2</v>
      </c>
      <c r="GH53">
        <v>1</v>
      </c>
      <c r="GI53">
        <v>-2</v>
      </c>
      <c r="GJ53">
        <v>0</v>
      </c>
      <c r="GK53">
        <v>0</v>
      </c>
      <c r="GL53">
        <f t="shared" si="41"/>
        <v>0</v>
      </c>
      <c r="GM53">
        <f t="shared" si="42"/>
        <v>9634</v>
      </c>
      <c r="GN53">
        <f t="shared" si="43"/>
        <v>9634</v>
      </c>
      <c r="GO53">
        <f t="shared" si="44"/>
        <v>0</v>
      </c>
      <c r="GP53">
        <f t="shared" si="45"/>
        <v>0</v>
      </c>
      <c r="GR53">
        <v>3</v>
      </c>
      <c r="GS53">
        <v>3</v>
      </c>
      <c r="GT53">
        <v>0</v>
      </c>
      <c r="GV53">
        <f t="shared" si="46"/>
        <v>0</v>
      </c>
      <c r="GW53">
        <v>1</v>
      </c>
      <c r="GX53">
        <f t="shared" si="47"/>
        <v>0</v>
      </c>
      <c r="HA53">
        <v>0</v>
      </c>
      <c r="HB53">
        <v>0</v>
      </c>
      <c r="HC53">
        <f t="shared" si="48"/>
        <v>0</v>
      </c>
      <c r="IK53">
        <v>0</v>
      </c>
    </row>
    <row r="54" spans="1:255" x14ac:dyDescent="0.2">
      <c r="A54" s="128">
        <v>17</v>
      </c>
      <c r="B54" s="128">
        <v>1</v>
      </c>
      <c r="C54" s="128">
        <f>ROW(SmtRes!A97)</f>
        <v>97</v>
      </c>
      <c r="D54" s="128">
        <f>ROW(EtalonRes!A105)</f>
        <v>105</v>
      </c>
      <c r="E54" s="128" t="s">
        <v>135</v>
      </c>
      <c r="F54" s="128" t="s">
        <v>862</v>
      </c>
      <c r="G54" s="128" t="s">
        <v>863</v>
      </c>
      <c r="H54" s="128" t="s">
        <v>845</v>
      </c>
      <c r="I54" s="128">
        <f>ROUND(326.2/100,9)</f>
        <v>3.262</v>
      </c>
      <c r="J54" s="128">
        <v>0</v>
      </c>
      <c r="K54" s="128"/>
      <c r="L54" s="128"/>
      <c r="M54" s="128"/>
      <c r="N54" s="128"/>
      <c r="O54" s="128">
        <f t="shared" si="14"/>
        <v>1306</v>
      </c>
      <c r="P54" s="128">
        <f t="shared" si="15"/>
        <v>1106</v>
      </c>
      <c r="Q54" s="128">
        <f t="shared" si="16"/>
        <v>0</v>
      </c>
      <c r="R54" s="128">
        <f t="shared" si="17"/>
        <v>0</v>
      </c>
      <c r="S54" s="128">
        <f t="shared" si="18"/>
        <v>200</v>
      </c>
      <c r="T54" s="128">
        <f t="shared" si="19"/>
        <v>0</v>
      </c>
      <c r="U54" s="128">
        <f t="shared" si="20"/>
        <v>25.133710000000001</v>
      </c>
      <c r="V54" s="128">
        <f t="shared" si="21"/>
        <v>0</v>
      </c>
      <c r="W54" s="128">
        <f t="shared" si="22"/>
        <v>0</v>
      </c>
      <c r="X54" s="128">
        <f t="shared" si="23"/>
        <v>212</v>
      </c>
      <c r="Y54" s="128">
        <f t="shared" si="24"/>
        <v>108</v>
      </c>
      <c r="Z54" s="128"/>
      <c r="AA54" s="128">
        <v>51866573</v>
      </c>
      <c r="AB54" s="128">
        <f t="shared" si="25"/>
        <v>400.40884999999997</v>
      </c>
      <c r="AC54" s="128">
        <f>ROUND((SUM(SmtRes!BQ95:BQ97)),6)</f>
        <v>339</v>
      </c>
      <c r="AD54" s="128">
        <f>ROUND((((0)-(0))+AE54),6)</f>
        <v>0</v>
      </c>
      <c r="AE54" s="128">
        <f>ROUND((0),6)</f>
        <v>0</v>
      </c>
      <c r="AF54" s="128">
        <f>ROUND((SUM(SmtRes!BT95:BT97)),6)</f>
        <v>61.408850000000001</v>
      </c>
      <c r="AG54" s="128">
        <f t="shared" si="27"/>
        <v>0</v>
      </c>
      <c r="AH54" s="128">
        <f>(SUM(SmtRes!BU95:BU97))</f>
        <v>7.7050000000000001</v>
      </c>
      <c r="AI54" s="128">
        <f>(0)</f>
        <v>0</v>
      </c>
      <c r="AJ54" s="128">
        <f t="shared" si="28"/>
        <v>0</v>
      </c>
      <c r="AK54" s="128">
        <v>392.399</v>
      </c>
      <c r="AL54" s="128">
        <v>339</v>
      </c>
      <c r="AM54" s="128">
        <v>0</v>
      </c>
      <c r="AN54" s="128">
        <v>0</v>
      </c>
      <c r="AO54" s="128">
        <v>53.399000000000001</v>
      </c>
      <c r="AP54" s="128">
        <v>0</v>
      </c>
      <c r="AQ54" s="128">
        <v>6.7</v>
      </c>
      <c r="AR54" s="128">
        <v>0</v>
      </c>
      <c r="AS54" s="128">
        <v>0</v>
      </c>
      <c r="AT54" s="128">
        <v>106</v>
      </c>
      <c r="AU54" s="128">
        <v>54</v>
      </c>
      <c r="AV54" s="128">
        <v>1</v>
      </c>
      <c r="AW54" s="128">
        <v>1</v>
      </c>
      <c r="AX54" s="128"/>
      <c r="AY54" s="128"/>
      <c r="AZ54" s="128">
        <v>1</v>
      </c>
      <c r="BA54" s="128">
        <v>1</v>
      </c>
      <c r="BB54" s="128">
        <v>1</v>
      </c>
      <c r="BC54" s="128">
        <v>1</v>
      </c>
      <c r="BD54" s="128"/>
      <c r="BE54" s="128"/>
      <c r="BF54" s="128"/>
      <c r="BG54" s="128"/>
      <c r="BH54" s="128">
        <v>0</v>
      </c>
      <c r="BI54" s="128">
        <v>1</v>
      </c>
      <c r="BJ54" s="128" t="s">
        <v>864</v>
      </c>
      <c r="BK54" s="128"/>
      <c r="BL54" s="128"/>
      <c r="BM54" s="128">
        <v>10001</v>
      </c>
      <c r="BN54" s="128">
        <v>0</v>
      </c>
      <c r="BO54" s="128"/>
      <c r="BP54" s="128">
        <v>0</v>
      </c>
      <c r="BQ54" s="128">
        <v>2</v>
      </c>
      <c r="BR54" s="128">
        <v>0</v>
      </c>
      <c r="BS54" s="128">
        <v>1</v>
      </c>
      <c r="BT54" s="128">
        <v>1</v>
      </c>
      <c r="BU54" s="128">
        <v>1</v>
      </c>
      <c r="BV54" s="128">
        <v>1</v>
      </c>
      <c r="BW54" s="128">
        <v>1</v>
      </c>
      <c r="BX54" s="128">
        <v>1</v>
      </c>
      <c r="BY54" s="128"/>
      <c r="BZ54" s="128">
        <v>118</v>
      </c>
      <c r="CA54" s="128">
        <v>63</v>
      </c>
      <c r="CB54" s="128"/>
      <c r="CC54" s="128"/>
      <c r="CD54" s="128"/>
      <c r="CE54" s="128">
        <v>0</v>
      </c>
      <c r="CF54" s="128">
        <v>0</v>
      </c>
      <c r="CG54" s="128">
        <v>0</v>
      </c>
      <c r="CH54" s="128"/>
      <c r="CI54" s="128"/>
      <c r="CJ54" s="128"/>
      <c r="CK54" s="128"/>
      <c r="CL54" s="128"/>
      <c r="CM54" s="128">
        <v>0</v>
      </c>
      <c r="CN54" s="128" t="s">
        <v>819</v>
      </c>
      <c r="CO54" s="128">
        <v>0</v>
      </c>
      <c r="CP54" s="128">
        <f t="shared" si="29"/>
        <v>1306</v>
      </c>
      <c r="CQ54" s="128">
        <f t="shared" si="30"/>
        <v>339</v>
      </c>
      <c r="CR54" s="128">
        <f t="shared" si="31"/>
        <v>0</v>
      </c>
      <c r="CS54" s="128">
        <f t="shared" si="32"/>
        <v>0</v>
      </c>
      <c r="CT54" s="128">
        <f t="shared" si="33"/>
        <v>61.408850000000001</v>
      </c>
      <c r="CU54" s="128">
        <f t="shared" si="34"/>
        <v>0</v>
      </c>
      <c r="CV54" s="128">
        <f t="shared" si="35"/>
        <v>7.7050000000000001</v>
      </c>
      <c r="CW54" s="128">
        <f t="shared" si="36"/>
        <v>0</v>
      </c>
      <c r="CX54" s="128">
        <f t="shared" si="37"/>
        <v>0</v>
      </c>
      <c r="CY54" s="128">
        <f t="shared" si="38"/>
        <v>212</v>
      </c>
      <c r="CZ54" s="128">
        <f t="shared" si="39"/>
        <v>108</v>
      </c>
      <c r="DA54" s="128"/>
      <c r="DB54" s="128"/>
      <c r="DC54" s="128"/>
      <c r="DD54" s="128"/>
      <c r="DE54" s="128" t="s">
        <v>820</v>
      </c>
      <c r="DF54" s="128" t="s">
        <v>820</v>
      </c>
      <c r="DG54" s="128" t="s">
        <v>821</v>
      </c>
      <c r="DH54" s="128"/>
      <c r="DI54" s="128" t="s">
        <v>821</v>
      </c>
      <c r="DJ54" s="128" t="s">
        <v>820</v>
      </c>
      <c r="DK54" s="128"/>
      <c r="DL54" s="128"/>
      <c r="DM54" s="128"/>
      <c r="DN54" s="128">
        <v>0</v>
      </c>
      <c r="DO54" s="128">
        <v>0</v>
      </c>
      <c r="DP54" s="128">
        <v>1</v>
      </c>
      <c r="DQ54" s="128">
        <v>1</v>
      </c>
      <c r="DR54" s="128"/>
      <c r="DS54" s="128"/>
      <c r="DT54" s="128"/>
      <c r="DU54" s="128">
        <v>1013</v>
      </c>
      <c r="DV54" s="128" t="s">
        <v>845</v>
      </c>
      <c r="DW54" s="128" t="s">
        <v>845</v>
      </c>
      <c r="DX54" s="128">
        <v>1</v>
      </c>
      <c r="DY54" s="128"/>
      <c r="DZ54" s="128"/>
      <c r="EA54" s="128"/>
      <c r="EB54" s="128"/>
      <c r="EC54" s="128"/>
      <c r="ED54" s="128"/>
      <c r="EE54" s="128">
        <v>49587839</v>
      </c>
      <c r="EF54" s="128">
        <v>2</v>
      </c>
      <c r="EG54" s="128" t="s">
        <v>709</v>
      </c>
      <c r="EH54" s="128">
        <v>0</v>
      </c>
      <c r="EI54" s="128"/>
      <c r="EJ54" s="128">
        <v>1</v>
      </c>
      <c r="EK54" s="128">
        <v>10001</v>
      </c>
      <c r="EL54" s="128" t="s">
        <v>0</v>
      </c>
      <c r="EM54" s="128" t="s">
        <v>822</v>
      </c>
      <c r="EN54" s="128"/>
      <c r="EO54" s="128" t="s">
        <v>823</v>
      </c>
      <c r="EP54" s="128"/>
      <c r="EQ54" s="128">
        <v>0</v>
      </c>
      <c r="ER54" s="128">
        <v>392.4</v>
      </c>
      <c r="ES54" s="128">
        <v>339</v>
      </c>
      <c r="ET54" s="128">
        <v>0</v>
      </c>
      <c r="EU54" s="128">
        <v>0</v>
      </c>
      <c r="EV54" s="128">
        <v>53.4</v>
      </c>
      <c r="EW54" s="128">
        <v>6.7</v>
      </c>
      <c r="EX54" s="128">
        <v>0</v>
      </c>
      <c r="EY54" s="128">
        <v>0</v>
      </c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>
        <v>0</v>
      </c>
      <c r="FR54" s="128">
        <f t="shared" si="40"/>
        <v>0</v>
      </c>
      <c r="FS54" s="128">
        <v>0</v>
      </c>
      <c r="FT54" s="128" t="s">
        <v>1</v>
      </c>
      <c r="FU54" s="128" t="s">
        <v>2</v>
      </c>
      <c r="FV54" s="128"/>
      <c r="FW54" s="128"/>
      <c r="FX54" s="128">
        <v>106.2</v>
      </c>
      <c r="FY54" s="128">
        <v>53.55</v>
      </c>
      <c r="FZ54" s="128"/>
      <c r="GA54" s="128"/>
      <c r="GB54" s="128"/>
      <c r="GC54" s="128"/>
      <c r="GD54" s="128">
        <v>1</v>
      </c>
      <c r="GE54" s="128"/>
      <c r="GF54" s="128">
        <v>1022970984</v>
      </c>
      <c r="GG54" s="128">
        <v>2</v>
      </c>
      <c r="GH54" s="128">
        <v>1</v>
      </c>
      <c r="GI54" s="128">
        <v>-2</v>
      </c>
      <c r="GJ54" s="128">
        <v>0</v>
      </c>
      <c r="GK54" s="128">
        <v>0</v>
      </c>
      <c r="GL54" s="128">
        <f t="shared" si="41"/>
        <v>0</v>
      </c>
      <c r="GM54" s="128">
        <f t="shared" si="42"/>
        <v>1626</v>
      </c>
      <c r="GN54" s="128">
        <f t="shared" si="43"/>
        <v>1626</v>
      </c>
      <c r="GO54" s="128">
        <f t="shared" si="44"/>
        <v>0</v>
      </c>
      <c r="GP54" s="128">
        <f t="shared" si="45"/>
        <v>0</v>
      </c>
      <c r="GQ54" s="128"/>
      <c r="GR54" s="128">
        <v>0</v>
      </c>
      <c r="GS54" s="128">
        <v>3</v>
      </c>
      <c r="GT54" s="128">
        <v>0</v>
      </c>
      <c r="GU54" s="128"/>
      <c r="GV54" s="128">
        <f t="shared" si="46"/>
        <v>0</v>
      </c>
      <c r="GW54" s="128">
        <v>1</v>
      </c>
      <c r="GX54" s="128">
        <f t="shared" si="47"/>
        <v>0</v>
      </c>
      <c r="GY54" s="128"/>
      <c r="GZ54" s="128"/>
      <c r="HA54" s="128">
        <v>0</v>
      </c>
      <c r="HB54" s="128">
        <v>0</v>
      </c>
      <c r="HC54" s="128">
        <f t="shared" si="48"/>
        <v>0</v>
      </c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>
        <v>0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</row>
    <row r="55" spans="1:255" x14ac:dyDescent="0.2">
      <c r="A55">
        <v>17</v>
      </c>
      <c r="B55">
        <v>1</v>
      </c>
      <c r="C55">
        <f>ROW(SmtRes!A100)</f>
        <v>100</v>
      </c>
      <c r="D55">
        <f>ROW(EtalonRes!A108)</f>
        <v>108</v>
      </c>
      <c r="E55" t="s">
        <v>135</v>
      </c>
      <c r="F55" t="s">
        <v>862</v>
      </c>
      <c r="G55" t="s">
        <v>863</v>
      </c>
      <c r="H55" t="s">
        <v>845</v>
      </c>
      <c r="I55">
        <f>ROUND(326.2/100,9)</f>
        <v>3.262</v>
      </c>
      <c r="J55">
        <v>0</v>
      </c>
      <c r="O55">
        <f t="shared" si="14"/>
        <v>6983</v>
      </c>
      <c r="P55">
        <f t="shared" si="15"/>
        <v>3018</v>
      </c>
      <c r="Q55">
        <f t="shared" si="16"/>
        <v>0</v>
      </c>
      <c r="R55">
        <f t="shared" si="17"/>
        <v>0</v>
      </c>
      <c r="S55">
        <f t="shared" si="18"/>
        <v>3965</v>
      </c>
      <c r="T55">
        <f t="shared" si="19"/>
        <v>0</v>
      </c>
      <c r="U55">
        <f t="shared" si="20"/>
        <v>25.133710000000001</v>
      </c>
      <c r="V55">
        <f t="shared" si="21"/>
        <v>0</v>
      </c>
      <c r="W55">
        <f t="shared" si="22"/>
        <v>0</v>
      </c>
      <c r="X55">
        <f t="shared" si="23"/>
        <v>4203</v>
      </c>
      <c r="Y55">
        <f t="shared" si="24"/>
        <v>2141</v>
      </c>
      <c r="AA55">
        <v>51866571</v>
      </c>
      <c r="AB55">
        <f t="shared" si="25"/>
        <v>2140.7008000000001</v>
      </c>
      <c r="AC55">
        <f>ROUND((SUM(SmtRes!BQ98:BQ100)),6)</f>
        <v>925.16</v>
      </c>
      <c r="AD55">
        <f>ROUND((((0)-(0))+AE55),6)</f>
        <v>0</v>
      </c>
      <c r="AE55">
        <f>ROUND((0),6)</f>
        <v>0</v>
      </c>
      <c r="AF55">
        <f>ROUND((SUM(SmtRes!BT98:BT100)),6)</f>
        <v>1215.5408</v>
      </c>
      <c r="AG55">
        <f t="shared" si="27"/>
        <v>0</v>
      </c>
      <c r="AH55">
        <f>(SUM(SmtRes!BU98:BU100))</f>
        <v>7.7050000000000001</v>
      </c>
      <c r="AI55">
        <f>(0)</f>
        <v>0</v>
      </c>
      <c r="AJ55">
        <f t="shared" si="28"/>
        <v>0</v>
      </c>
      <c r="AK55">
        <v>1982.152</v>
      </c>
      <c r="AL55">
        <v>925.16</v>
      </c>
      <c r="AM55">
        <v>0</v>
      </c>
      <c r="AN55">
        <v>0</v>
      </c>
      <c r="AO55">
        <v>1056.992</v>
      </c>
      <c r="AP55">
        <v>0</v>
      </c>
      <c r="AQ55">
        <v>6.7</v>
      </c>
      <c r="AR55">
        <v>0</v>
      </c>
      <c r="AS55">
        <v>0</v>
      </c>
      <c r="AT55">
        <v>106</v>
      </c>
      <c r="AU55">
        <v>54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H55">
        <v>0</v>
      </c>
      <c r="BI55">
        <v>1</v>
      </c>
      <c r="BJ55" t="s">
        <v>864</v>
      </c>
      <c r="BM55">
        <v>10001</v>
      </c>
      <c r="BN55">
        <v>0</v>
      </c>
      <c r="BP55">
        <v>0</v>
      </c>
      <c r="BQ55">
        <v>2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Z55">
        <v>118</v>
      </c>
      <c r="CA55">
        <v>63</v>
      </c>
      <c r="CE55">
        <v>0</v>
      </c>
      <c r="CF55">
        <v>0</v>
      </c>
      <c r="CG55">
        <v>0</v>
      </c>
      <c r="CM55">
        <v>0</v>
      </c>
      <c r="CN55" t="s">
        <v>819</v>
      </c>
      <c r="CO55">
        <v>0</v>
      </c>
      <c r="CP55">
        <f t="shared" si="29"/>
        <v>6983</v>
      </c>
      <c r="CQ55">
        <f t="shared" si="30"/>
        <v>925.16</v>
      </c>
      <c r="CR55">
        <f t="shared" si="31"/>
        <v>0</v>
      </c>
      <c r="CS55">
        <f t="shared" si="32"/>
        <v>0</v>
      </c>
      <c r="CT55">
        <f t="shared" si="33"/>
        <v>1215.5408</v>
      </c>
      <c r="CU55">
        <f t="shared" si="34"/>
        <v>0</v>
      </c>
      <c r="CV55">
        <f t="shared" si="35"/>
        <v>7.7050000000000001</v>
      </c>
      <c r="CW55">
        <f t="shared" si="36"/>
        <v>0</v>
      </c>
      <c r="CX55">
        <f t="shared" si="37"/>
        <v>0</v>
      </c>
      <c r="CY55">
        <f t="shared" si="38"/>
        <v>4202.8999999999996</v>
      </c>
      <c r="CZ55">
        <f t="shared" si="39"/>
        <v>2141.1</v>
      </c>
      <c r="DE55" t="s">
        <v>820</v>
      </c>
      <c r="DF55" t="s">
        <v>820</v>
      </c>
      <c r="DG55" t="s">
        <v>821</v>
      </c>
      <c r="DI55" t="s">
        <v>821</v>
      </c>
      <c r="DJ55" t="s">
        <v>820</v>
      </c>
      <c r="DN55">
        <v>0</v>
      </c>
      <c r="DO55">
        <v>0</v>
      </c>
      <c r="DP55">
        <v>1</v>
      </c>
      <c r="DQ55">
        <v>1</v>
      </c>
      <c r="DU55">
        <v>1013</v>
      </c>
      <c r="DV55" t="s">
        <v>845</v>
      </c>
      <c r="DW55" t="s">
        <v>845</v>
      </c>
      <c r="DX55">
        <v>1</v>
      </c>
      <c r="EE55">
        <v>49587839</v>
      </c>
      <c r="EF55">
        <v>2</v>
      </c>
      <c r="EG55" t="s">
        <v>709</v>
      </c>
      <c r="EH55">
        <v>0</v>
      </c>
      <c r="EJ55">
        <v>1</v>
      </c>
      <c r="EK55">
        <v>10001</v>
      </c>
      <c r="EL55" t="s">
        <v>0</v>
      </c>
      <c r="EM55" t="s">
        <v>822</v>
      </c>
      <c r="EO55" t="s">
        <v>823</v>
      </c>
      <c r="EQ55">
        <v>0</v>
      </c>
      <c r="ER55">
        <v>392.4</v>
      </c>
      <c r="ES55">
        <v>339</v>
      </c>
      <c r="ET55">
        <v>0</v>
      </c>
      <c r="EU55">
        <v>0</v>
      </c>
      <c r="EV55">
        <v>53.4</v>
      </c>
      <c r="EW55">
        <v>6.7</v>
      </c>
      <c r="EX55">
        <v>0</v>
      </c>
      <c r="EY55">
        <v>0</v>
      </c>
      <c r="FQ55">
        <v>0</v>
      </c>
      <c r="FR55">
        <f t="shared" si="40"/>
        <v>0</v>
      </c>
      <c r="FS55">
        <v>0</v>
      </c>
      <c r="FT55" t="s">
        <v>1</v>
      </c>
      <c r="FU55" t="s">
        <v>2</v>
      </c>
      <c r="FX55">
        <v>106.2</v>
      </c>
      <c r="FY55">
        <v>53.55</v>
      </c>
      <c r="GD55">
        <v>1</v>
      </c>
      <c r="GF55">
        <v>1022970984</v>
      </c>
      <c r="GG55">
        <v>2</v>
      </c>
      <c r="GH55">
        <v>1</v>
      </c>
      <c r="GI55">
        <v>-2</v>
      </c>
      <c r="GJ55">
        <v>0</v>
      </c>
      <c r="GK55">
        <v>0</v>
      </c>
      <c r="GL55">
        <f t="shared" si="41"/>
        <v>0</v>
      </c>
      <c r="GM55">
        <f t="shared" si="42"/>
        <v>13327</v>
      </c>
      <c r="GN55">
        <f t="shared" si="43"/>
        <v>13327</v>
      </c>
      <c r="GO55">
        <f t="shared" si="44"/>
        <v>0</v>
      </c>
      <c r="GP55">
        <f t="shared" si="45"/>
        <v>0</v>
      </c>
      <c r="GR55">
        <v>0</v>
      </c>
      <c r="GS55">
        <v>3</v>
      </c>
      <c r="GT55">
        <v>0</v>
      </c>
      <c r="GV55">
        <f t="shared" si="46"/>
        <v>0</v>
      </c>
      <c r="GW55">
        <v>1</v>
      </c>
      <c r="GX55">
        <f t="shared" si="47"/>
        <v>0</v>
      </c>
      <c r="HA55">
        <v>0</v>
      </c>
      <c r="HB55">
        <v>0</v>
      </c>
      <c r="HC55">
        <f t="shared" si="48"/>
        <v>0</v>
      </c>
      <c r="IK55">
        <v>0</v>
      </c>
    </row>
    <row r="56" spans="1:255" x14ac:dyDescent="0.2">
      <c r="A56" s="128">
        <v>17</v>
      </c>
      <c r="B56" s="128">
        <v>1</v>
      </c>
      <c r="C56" s="128">
        <f>ROW(SmtRes!A106)</f>
        <v>106</v>
      </c>
      <c r="D56" s="128">
        <f>ROW(EtalonRes!A115)</f>
        <v>115</v>
      </c>
      <c r="E56" s="128" t="s">
        <v>138</v>
      </c>
      <c r="F56" s="128" t="s">
        <v>865</v>
      </c>
      <c r="G56" s="128" t="s">
        <v>866</v>
      </c>
      <c r="H56" s="128" t="s">
        <v>867</v>
      </c>
      <c r="I56" s="128">
        <f>ROUND(15.72/100,9)</f>
        <v>0.15720000000000001</v>
      </c>
      <c r="J56" s="128">
        <v>0</v>
      </c>
      <c r="K56" s="128"/>
      <c r="L56" s="128"/>
      <c r="M56" s="128"/>
      <c r="N56" s="128"/>
      <c r="O56" s="128">
        <f t="shared" si="14"/>
        <v>3190</v>
      </c>
      <c r="P56" s="128">
        <f t="shared" si="15"/>
        <v>102</v>
      </c>
      <c r="Q56" s="128">
        <f t="shared" si="16"/>
        <v>37</v>
      </c>
      <c r="R56" s="128">
        <f t="shared" si="17"/>
        <v>12</v>
      </c>
      <c r="S56" s="128">
        <f t="shared" si="18"/>
        <v>3051</v>
      </c>
      <c r="T56" s="128">
        <f t="shared" si="19"/>
        <v>0</v>
      </c>
      <c r="U56" s="128">
        <f t="shared" si="20"/>
        <v>20.382944999999999</v>
      </c>
      <c r="V56" s="128">
        <f t="shared" si="21"/>
        <v>3.9300000000000002E-2</v>
      </c>
      <c r="W56" s="128">
        <f t="shared" si="22"/>
        <v>0</v>
      </c>
      <c r="X56" s="128">
        <f t="shared" si="23"/>
        <v>3308</v>
      </c>
      <c r="Y56" s="128">
        <f t="shared" si="24"/>
        <v>1685</v>
      </c>
      <c r="Z56" s="128"/>
      <c r="AA56" s="128">
        <v>51866573</v>
      </c>
      <c r="AB56" s="128">
        <f t="shared" si="25"/>
        <v>20291.886630000001</v>
      </c>
      <c r="AC56" s="128">
        <f>ROUND((SUM(SmtRes!BQ101:BQ106)),6)</f>
        <v>650.73688000000004</v>
      </c>
      <c r="AD56" s="128">
        <f>ROUND((((SUM(SmtRes!BR101:BR106))-(SUM(SmtRes!BS101:BS106)))+AE56),6)</f>
        <v>233.26675</v>
      </c>
      <c r="AE56" s="128">
        <f>ROUND((SUM(SmtRes!BS101:BS106)),6)</f>
        <v>74.564750000000004</v>
      </c>
      <c r="AF56" s="128">
        <f>ROUND((SUM(SmtRes!BT101:BT106)),6)</f>
        <v>19407.883000000002</v>
      </c>
      <c r="AG56" s="128">
        <f t="shared" si="27"/>
        <v>0</v>
      </c>
      <c r="AH56" s="128">
        <f>(SUM(SmtRes!BU101:BU106))</f>
        <v>129.66249999999999</v>
      </c>
      <c r="AI56" s="128">
        <f>(SUM(SmtRes!BV101:BV106))</f>
        <v>0.25</v>
      </c>
      <c r="AJ56" s="128">
        <f t="shared" si="28"/>
        <v>0</v>
      </c>
      <c r="AK56" s="128">
        <v>17713.770280000001</v>
      </c>
      <c r="AL56" s="128">
        <v>650.73688000000004</v>
      </c>
      <c r="AM56" s="128">
        <v>186.61340000000001</v>
      </c>
      <c r="AN56" s="128">
        <v>59.651800000000001</v>
      </c>
      <c r="AO56" s="128">
        <v>16876.419999999998</v>
      </c>
      <c r="AP56" s="128">
        <v>0</v>
      </c>
      <c r="AQ56" s="128">
        <v>112.75</v>
      </c>
      <c r="AR56" s="128">
        <v>0.2</v>
      </c>
      <c r="AS56" s="128">
        <v>0</v>
      </c>
      <c r="AT56" s="128">
        <v>108</v>
      </c>
      <c r="AU56" s="128">
        <v>55</v>
      </c>
      <c r="AV56" s="128">
        <v>1</v>
      </c>
      <c r="AW56" s="128">
        <v>1</v>
      </c>
      <c r="AX56" s="128"/>
      <c r="AY56" s="128"/>
      <c r="AZ56" s="128">
        <v>1</v>
      </c>
      <c r="BA56" s="128">
        <v>1</v>
      </c>
      <c r="BB56" s="128">
        <v>1</v>
      </c>
      <c r="BC56" s="128">
        <v>1</v>
      </c>
      <c r="BD56" s="128"/>
      <c r="BE56" s="128"/>
      <c r="BF56" s="128"/>
      <c r="BG56" s="128"/>
      <c r="BH56" s="128">
        <v>0</v>
      </c>
      <c r="BI56" s="128">
        <v>1</v>
      </c>
      <c r="BJ56" s="128" t="s">
        <v>868</v>
      </c>
      <c r="BK56" s="128"/>
      <c r="BL56" s="128"/>
      <c r="BM56" s="128">
        <v>12001</v>
      </c>
      <c r="BN56" s="128">
        <v>0</v>
      </c>
      <c r="BO56" s="128"/>
      <c r="BP56" s="128">
        <v>0</v>
      </c>
      <c r="BQ56" s="128">
        <v>2</v>
      </c>
      <c r="BR56" s="128">
        <v>0</v>
      </c>
      <c r="BS56" s="128">
        <v>1</v>
      </c>
      <c r="BT56" s="128">
        <v>1</v>
      </c>
      <c r="BU56" s="128">
        <v>1</v>
      </c>
      <c r="BV56" s="128">
        <v>1</v>
      </c>
      <c r="BW56" s="128">
        <v>1</v>
      </c>
      <c r="BX56" s="128">
        <v>1</v>
      </c>
      <c r="BY56" s="128"/>
      <c r="BZ56" s="128">
        <v>120</v>
      </c>
      <c r="CA56" s="128">
        <v>65</v>
      </c>
      <c r="CB56" s="128"/>
      <c r="CC56" s="128"/>
      <c r="CD56" s="128"/>
      <c r="CE56" s="128">
        <v>0</v>
      </c>
      <c r="CF56" s="128">
        <v>0</v>
      </c>
      <c r="CG56" s="128">
        <v>0</v>
      </c>
      <c r="CH56" s="128"/>
      <c r="CI56" s="128"/>
      <c r="CJ56" s="128"/>
      <c r="CK56" s="128"/>
      <c r="CL56" s="128"/>
      <c r="CM56" s="128">
        <v>0</v>
      </c>
      <c r="CN56" s="128" t="s">
        <v>819</v>
      </c>
      <c r="CO56" s="128">
        <v>0</v>
      </c>
      <c r="CP56" s="128">
        <f t="shared" si="29"/>
        <v>3190</v>
      </c>
      <c r="CQ56" s="128">
        <f t="shared" si="30"/>
        <v>650.73688000000004</v>
      </c>
      <c r="CR56" s="128">
        <f t="shared" si="31"/>
        <v>233.26675</v>
      </c>
      <c r="CS56" s="128">
        <f t="shared" si="32"/>
        <v>74.564750000000004</v>
      </c>
      <c r="CT56" s="128">
        <f t="shared" si="33"/>
        <v>19407.883000000002</v>
      </c>
      <c r="CU56" s="128">
        <f t="shared" si="34"/>
        <v>0</v>
      </c>
      <c r="CV56" s="128">
        <f t="shared" si="35"/>
        <v>129.66249999999999</v>
      </c>
      <c r="CW56" s="128">
        <f t="shared" si="36"/>
        <v>0.25</v>
      </c>
      <c r="CX56" s="128">
        <f t="shared" si="37"/>
        <v>0</v>
      </c>
      <c r="CY56" s="128">
        <f t="shared" si="38"/>
        <v>3308.04</v>
      </c>
      <c r="CZ56" s="128">
        <f t="shared" si="39"/>
        <v>1684.65</v>
      </c>
      <c r="DA56" s="128"/>
      <c r="DB56" s="128"/>
      <c r="DC56" s="128"/>
      <c r="DD56" s="128"/>
      <c r="DE56" s="128" t="s">
        <v>820</v>
      </c>
      <c r="DF56" s="128" t="s">
        <v>820</v>
      </c>
      <c r="DG56" s="128" t="s">
        <v>821</v>
      </c>
      <c r="DH56" s="128"/>
      <c r="DI56" s="128" t="s">
        <v>821</v>
      </c>
      <c r="DJ56" s="128" t="s">
        <v>820</v>
      </c>
      <c r="DK56" s="128"/>
      <c r="DL56" s="128"/>
      <c r="DM56" s="128"/>
      <c r="DN56" s="128">
        <v>0</v>
      </c>
      <c r="DO56" s="128">
        <v>0</v>
      </c>
      <c r="DP56" s="128">
        <v>1</v>
      </c>
      <c r="DQ56" s="128">
        <v>1</v>
      </c>
      <c r="DR56" s="128"/>
      <c r="DS56" s="128"/>
      <c r="DT56" s="128"/>
      <c r="DU56" s="128">
        <v>1013</v>
      </c>
      <c r="DV56" s="128" t="s">
        <v>867</v>
      </c>
      <c r="DW56" s="128" t="s">
        <v>867</v>
      </c>
      <c r="DX56" s="128">
        <v>1</v>
      </c>
      <c r="DY56" s="128"/>
      <c r="DZ56" s="128"/>
      <c r="EA56" s="128"/>
      <c r="EB56" s="128"/>
      <c r="EC56" s="128"/>
      <c r="ED56" s="128"/>
      <c r="EE56" s="128">
        <v>49587841</v>
      </c>
      <c r="EF56" s="128">
        <v>2</v>
      </c>
      <c r="EG56" s="128" t="s">
        <v>709</v>
      </c>
      <c r="EH56" s="128">
        <v>0</v>
      </c>
      <c r="EI56" s="128"/>
      <c r="EJ56" s="128">
        <v>1</v>
      </c>
      <c r="EK56" s="128">
        <v>12001</v>
      </c>
      <c r="EL56" s="128" t="s">
        <v>3</v>
      </c>
      <c r="EM56" s="128" t="s">
        <v>869</v>
      </c>
      <c r="EN56" s="128"/>
      <c r="EO56" s="128" t="s">
        <v>823</v>
      </c>
      <c r="EP56" s="128"/>
      <c r="EQ56" s="128">
        <v>0</v>
      </c>
      <c r="ER56" s="128">
        <v>9819.09</v>
      </c>
      <c r="ES56" s="128">
        <v>8893.35</v>
      </c>
      <c r="ET56" s="128">
        <v>27.12</v>
      </c>
      <c r="EU56" s="128">
        <v>2.42</v>
      </c>
      <c r="EV56" s="128">
        <v>898.62</v>
      </c>
      <c r="EW56" s="128">
        <v>112.75</v>
      </c>
      <c r="EX56" s="128">
        <v>0.2</v>
      </c>
      <c r="EY56" s="128">
        <v>0</v>
      </c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>
        <v>0</v>
      </c>
      <c r="FR56" s="128">
        <f t="shared" si="40"/>
        <v>0</v>
      </c>
      <c r="FS56" s="128">
        <v>0</v>
      </c>
      <c r="FT56" s="128" t="s">
        <v>1</v>
      </c>
      <c r="FU56" s="128" t="s">
        <v>2</v>
      </c>
      <c r="FV56" s="128"/>
      <c r="FW56" s="128"/>
      <c r="FX56" s="128">
        <v>108</v>
      </c>
      <c r="FY56" s="128">
        <v>55.25</v>
      </c>
      <c r="FZ56" s="128"/>
      <c r="GA56" s="128"/>
      <c r="GB56" s="128"/>
      <c r="GC56" s="128"/>
      <c r="GD56" s="128">
        <v>1</v>
      </c>
      <c r="GE56" s="128"/>
      <c r="GF56" s="128">
        <v>184108211</v>
      </c>
      <c r="GG56" s="128">
        <v>2</v>
      </c>
      <c r="GH56" s="128">
        <v>1</v>
      </c>
      <c r="GI56" s="128">
        <v>-2</v>
      </c>
      <c r="GJ56" s="128">
        <v>0</v>
      </c>
      <c r="GK56" s="128">
        <v>0</v>
      </c>
      <c r="GL56" s="128">
        <f t="shared" si="41"/>
        <v>0</v>
      </c>
      <c r="GM56" s="128">
        <f t="shared" si="42"/>
        <v>8183</v>
      </c>
      <c r="GN56" s="128">
        <f t="shared" si="43"/>
        <v>8183</v>
      </c>
      <c r="GO56" s="128">
        <f t="shared" si="44"/>
        <v>0</v>
      </c>
      <c r="GP56" s="128">
        <f t="shared" si="45"/>
        <v>0</v>
      </c>
      <c r="GQ56" s="128"/>
      <c r="GR56" s="128">
        <v>0</v>
      </c>
      <c r="GS56" s="128">
        <v>0</v>
      </c>
      <c r="GT56" s="128">
        <v>0</v>
      </c>
      <c r="GU56" s="128"/>
      <c r="GV56" s="128">
        <f t="shared" si="46"/>
        <v>0</v>
      </c>
      <c r="GW56" s="128">
        <v>1</v>
      </c>
      <c r="GX56" s="128">
        <f t="shared" si="47"/>
        <v>0</v>
      </c>
      <c r="GY56" s="128"/>
      <c r="GZ56" s="128"/>
      <c r="HA56" s="128">
        <v>0</v>
      </c>
      <c r="HB56" s="128">
        <v>0</v>
      </c>
      <c r="HC56" s="128">
        <f t="shared" si="48"/>
        <v>0</v>
      </c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>
        <v>0</v>
      </c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</row>
    <row r="57" spans="1:255" x14ac:dyDescent="0.2">
      <c r="A57">
        <v>17</v>
      </c>
      <c r="B57">
        <v>1</v>
      </c>
      <c r="C57">
        <f>ROW(SmtRes!A112)</f>
        <v>112</v>
      </c>
      <c r="D57">
        <f>ROW(EtalonRes!A122)</f>
        <v>122</v>
      </c>
      <c r="E57" t="s">
        <v>138</v>
      </c>
      <c r="F57" t="s">
        <v>865</v>
      </c>
      <c r="G57" t="s">
        <v>866</v>
      </c>
      <c r="H57" t="s">
        <v>867</v>
      </c>
      <c r="I57">
        <f>ROUND(15.72/100,9)</f>
        <v>0.15720000000000001</v>
      </c>
      <c r="J57">
        <v>0</v>
      </c>
      <c r="O57">
        <f t="shared" si="14"/>
        <v>3355</v>
      </c>
      <c r="P57">
        <f t="shared" si="15"/>
        <v>102</v>
      </c>
      <c r="Q57">
        <f t="shared" si="16"/>
        <v>37</v>
      </c>
      <c r="R57">
        <f t="shared" si="17"/>
        <v>12</v>
      </c>
      <c r="S57">
        <f t="shared" si="18"/>
        <v>3216</v>
      </c>
      <c r="T57">
        <f t="shared" si="19"/>
        <v>0</v>
      </c>
      <c r="U57">
        <f t="shared" si="20"/>
        <v>20.382944999999999</v>
      </c>
      <c r="V57">
        <f t="shared" si="21"/>
        <v>3.9300000000000002E-2</v>
      </c>
      <c r="W57">
        <f t="shared" si="22"/>
        <v>0</v>
      </c>
      <c r="X57">
        <f t="shared" si="23"/>
        <v>3486</v>
      </c>
      <c r="Y57">
        <f t="shared" si="24"/>
        <v>1775</v>
      </c>
      <c r="AA57">
        <v>51866571</v>
      </c>
      <c r="AB57">
        <f t="shared" si="25"/>
        <v>21344.49336</v>
      </c>
      <c r="AC57">
        <f>ROUND((SUM(SmtRes!BQ107:BQ112)),6)</f>
        <v>650.92035999999996</v>
      </c>
      <c r="AD57">
        <f>ROUND((((SUM(SmtRes!BR107:BR112))-(SUM(SmtRes!BS107:BS112)))+AE57),6)</f>
        <v>238.017</v>
      </c>
      <c r="AE57">
        <f>ROUND((SUM(SmtRes!BS107:BS112)),6)</f>
        <v>77.670500000000004</v>
      </c>
      <c r="AF57">
        <f>ROUND((SUM(SmtRes!BT107:BT112)),6)</f>
        <v>20455.556</v>
      </c>
      <c r="AG57">
        <f t="shared" si="27"/>
        <v>0</v>
      </c>
      <c r="AH57">
        <f>(SUM(SmtRes!BU107:BU112))</f>
        <v>129.66249999999999</v>
      </c>
      <c r="AI57">
        <f>(SUM(SmtRes!BV107:BV112))</f>
        <v>0.25</v>
      </c>
      <c r="AJ57">
        <f t="shared" si="28"/>
        <v>0</v>
      </c>
      <c r="AK57">
        <v>18628.773959999999</v>
      </c>
      <c r="AL57">
        <v>650.92035999999996</v>
      </c>
      <c r="AM57">
        <v>190.4136</v>
      </c>
      <c r="AN57">
        <v>62.136400000000002</v>
      </c>
      <c r="AO57">
        <v>17787.439999999999</v>
      </c>
      <c r="AP57">
        <v>0</v>
      </c>
      <c r="AQ57">
        <v>112.75</v>
      </c>
      <c r="AR57">
        <v>0.2</v>
      </c>
      <c r="AS57">
        <v>0</v>
      </c>
      <c r="AT57">
        <v>108</v>
      </c>
      <c r="AU57">
        <v>55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H57">
        <v>0</v>
      </c>
      <c r="BI57">
        <v>1</v>
      </c>
      <c r="BJ57" t="s">
        <v>868</v>
      </c>
      <c r="BM57">
        <v>12001</v>
      </c>
      <c r="BN57">
        <v>0</v>
      </c>
      <c r="BP57">
        <v>0</v>
      </c>
      <c r="BQ57">
        <v>2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Z57">
        <v>120</v>
      </c>
      <c r="CA57">
        <v>65</v>
      </c>
      <c r="CE57">
        <v>0</v>
      </c>
      <c r="CF57">
        <v>0</v>
      </c>
      <c r="CG57">
        <v>0</v>
      </c>
      <c r="CM57">
        <v>0</v>
      </c>
      <c r="CN57" t="s">
        <v>819</v>
      </c>
      <c r="CO57">
        <v>0</v>
      </c>
      <c r="CP57">
        <f t="shared" si="29"/>
        <v>3355</v>
      </c>
      <c r="CQ57">
        <f t="shared" si="30"/>
        <v>650.92035999999996</v>
      </c>
      <c r="CR57">
        <f t="shared" si="31"/>
        <v>238.017</v>
      </c>
      <c r="CS57">
        <f t="shared" si="32"/>
        <v>77.670500000000004</v>
      </c>
      <c r="CT57">
        <f t="shared" si="33"/>
        <v>20455.556</v>
      </c>
      <c r="CU57">
        <f t="shared" si="34"/>
        <v>0</v>
      </c>
      <c r="CV57">
        <f t="shared" si="35"/>
        <v>129.66249999999999</v>
      </c>
      <c r="CW57">
        <f t="shared" si="36"/>
        <v>0.25</v>
      </c>
      <c r="CX57">
        <f t="shared" si="37"/>
        <v>0</v>
      </c>
      <c r="CY57">
        <f t="shared" si="38"/>
        <v>3486.24</v>
      </c>
      <c r="CZ57">
        <f t="shared" si="39"/>
        <v>1775.4</v>
      </c>
      <c r="DE57" t="s">
        <v>820</v>
      </c>
      <c r="DF57" t="s">
        <v>820</v>
      </c>
      <c r="DG57" t="s">
        <v>821</v>
      </c>
      <c r="DI57" t="s">
        <v>821</v>
      </c>
      <c r="DJ57" t="s">
        <v>820</v>
      </c>
      <c r="DN57">
        <v>0</v>
      </c>
      <c r="DO57">
        <v>0</v>
      </c>
      <c r="DP57">
        <v>1</v>
      </c>
      <c r="DQ57">
        <v>1</v>
      </c>
      <c r="DU57">
        <v>1013</v>
      </c>
      <c r="DV57" t="s">
        <v>867</v>
      </c>
      <c r="DW57" t="s">
        <v>867</v>
      </c>
      <c r="DX57">
        <v>1</v>
      </c>
      <c r="EE57">
        <v>49587841</v>
      </c>
      <c r="EF57">
        <v>2</v>
      </c>
      <c r="EG57" t="s">
        <v>709</v>
      </c>
      <c r="EH57">
        <v>0</v>
      </c>
      <c r="EJ57">
        <v>1</v>
      </c>
      <c r="EK57">
        <v>12001</v>
      </c>
      <c r="EL57" t="s">
        <v>3</v>
      </c>
      <c r="EM57" t="s">
        <v>869</v>
      </c>
      <c r="EO57" t="s">
        <v>823</v>
      </c>
      <c r="EQ57">
        <v>0</v>
      </c>
      <c r="ER57">
        <v>9819.09</v>
      </c>
      <c r="ES57">
        <v>8893.35</v>
      </c>
      <c r="ET57">
        <v>27.12</v>
      </c>
      <c r="EU57">
        <v>2.42</v>
      </c>
      <c r="EV57">
        <v>898.62</v>
      </c>
      <c r="EW57">
        <v>112.75</v>
      </c>
      <c r="EX57">
        <v>0.2</v>
      </c>
      <c r="EY57">
        <v>0</v>
      </c>
      <c r="FQ57">
        <v>0</v>
      </c>
      <c r="FR57">
        <f t="shared" si="40"/>
        <v>0</v>
      </c>
      <c r="FS57">
        <v>0</v>
      </c>
      <c r="FT57" t="s">
        <v>1</v>
      </c>
      <c r="FU57" t="s">
        <v>2</v>
      </c>
      <c r="FX57">
        <v>108</v>
      </c>
      <c r="FY57">
        <v>55.25</v>
      </c>
      <c r="GD57">
        <v>1</v>
      </c>
      <c r="GF57">
        <v>184108211</v>
      </c>
      <c r="GG57">
        <v>2</v>
      </c>
      <c r="GH57">
        <v>1</v>
      </c>
      <c r="GI57">
        <v>-2</v>
      </c>
      <c r="GJ57">
        <v>0</v>
      </c>
      <c r="GK57">
        <v>0</v>
      </c>
      <c r="GL57">
        <f t="shared" si="41"/>
        <v>0</v>
      </c>
      <c r="GM57">
        <f t="shared" si="42"/>
        <v>8616</v>
      </c>
      <c r="GN57">
        <f t="shared" si="43"/>
        <v>8616</v>
      </c>
      <c r="GO57">
        <f t="shared" si="44"/>
        <v>0</v>
      </c>
      <c r="GP57">
        <f t="shared" si="45"/>
        <v>0</v>
      </c>
      <c r="GR57">
        <v>0</v>
      </c>
      <c r="GS57">
        <v>3</v>
      </c>
      <c r="GT57">
        <v>0</v>
      </c>
      <c r="GV57">
        <f t="shared" si="46"/>
        <v>0</v>
      </c>
      <c r="GW57">
        <v>1</v>
      </c>
      <c r="GX57">
        <f t="shared" si="47"/>
        <v>0</v>
      </c>
      <c r="HA57">
        <v>0</v>
      </c>
      <c r="HB57">
        <v>0</v>
      </c>
      <c r="HC57">
        <f t="shared" si="48"/>
        <v>0</v>
      </c>
      <c r="IK57">
        <v>0</v>
      </c>
    </row>
    <row r="58" spans="1:255" x14ac:dyDescent="0.2">
      <c r="A58" s="128">
        <v>17</v>
      </c>
      <c r="B58" s="128">
        <v>1</v>
      </c>
      <c r="C58" s="128"/>
      <c r="D58" s="128"/>
      <c r="E58" s="128" t="s">
        <v>139</v>
      </c>
      <c r="F58" s="128" t="s">
        <v>870</v>
      </c>
      <c r="G58" s="128" t="s">
        <v>871</v>
      </c>
      <c r="H58" s="128" t="s">
        <v>180</v>
      </c>
      <c r="I58" s="128">
        <v>52.4</v>
      </c>
      <c r="J58" s="128">
        <v>0</v>
      </c>
      <c r="K58" s="128"/>
      <c r="L58" s="128"/>
      <c r="M58" s="128"/>
      <c r="N58" s="128"/>
      <c r="O58" s="128">
        <f t="shared" si="14"/>
        <v>1405</v>
      </c>
      <c r="P58" s="128">
        <f t="shared" si="15"/>
        <v>1405</v>
      </c>
      <c r="Q58" s="128">
        <f t="shared" si="16"/>
        <v>0</v>
      </c>
      <c r="R58" s="128">
        <f t="shared" si="17"/>
        <v>0</v>
      </c>
      <c r="S58" s="128">
        <f t="shared" si="18"/>
        <v>0</v>
      </c>
      <c r="T58" s="128">
        <f t="shared" si="19"/>
        <v>0</v>
      </c>
      <c r="U58" s="128">
        <f t="shared" si="20"/>
        <v>0</v>
      </c>
      <c r="V58" s="128">
        <f t="shared" si="21"/>
        <v>0</v>
      </c>
      <c r="W58" s="128">
        <f t="shared" si="22"/>
        <v>0</v>
      </c>
      <c r="X58" s="128">
        <f t="shared" si="23"/>
        <v>0</v>
      </c>
      <c r="Y58" s="128">
        <f t="shared" si="24"/>
        <v>0</v>
      </c>
      <c r="Z58" s="128"/>
      <c r="AA58" s="128">
        <v>51866573</v>
      </c>
      <c r="AB58" s="128">
        <f t="shared" si="25"/>
        <v>26.81</v>
      </c>
      <c r="AC58" s="128">
        <f>ROUND((ES58),6)</f>
        <v>26.81</v>
      </c>
      <c r="AD58" s="128">
        <f>ROUND((((ET58)-(EU58))+AE58),6)</f>
        <v>0</v>
      </c>
      <c r="AE58" s="128">
        <f>ROUND((EU58),6)</f>
        <v>0</v>
      </c>
      <c r="AF58" s="128">
        <f>ROUND((EV58),6)</f>
        <v>0</v>
      </c>
      <c r="AG58" s="128">
        <f t="shared" si="27"/>
        <v>0</v>
      </c>
      <c r="AH58" s="128">
        <f>(EW58)</f>
        <v>0</v>
      </c>
      <c r="AI58" s="128">
        <f>(EX58)</f>
        <v>0</v>
      </c>
      <c r="AJ58" s="128">
        <f t="shared" si="28"/>
        <v>0</v>
      </c>
      <c r="AK58" s="128">
        <v>26.81</v>
      </c>
      <c r="AL58" s="128">
        <v>26.81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1</v>
      </c>
      <c r="AW58" s="128">
        <v>1</v>
      </c>
      <c r="AX58" s="128"/>
      <c r="AY58" s="128"/>
      <c r="AZ58" s="128">
        <v>1</v>
      </c>
      <c r="BA58" s="128">
        <v>1</v>
      </c>
      <c r="BB58" s="128">
        <v>1</v>
      </c>
      <c r="BC58" s="128">
        <v>1</v>
      </c>
      <c r="BD58" s="128"/>
      <c r="BE58" s="128"/>
      <c r="BF58" s="128"/>
      <c r="BG58" s="128"/>
      <c r="BH58" s="128">
        <v>3</v>
      </c>
      <c r="BI58" s="128">
        <v>1</v>
      </c>
      <c r="BJ58" s="128" t="s">
        <v>872</v>
      </c>
      <c r="BK58" s="128"/>
      <c r="BL58" s="128"/>
      <c r="BM58" s="128">
        <v>500001</v>
      </c>
      <c r="BN58" s="128">
        <v>0</v>
      </c>
      <c r="BO58" s="128"/>
      <c r="BP58" s="128">
        <v>0</v>
      </c>
      <c r="BQ58" s="128">
        <v>8</v>
      </c>
      <c r="BR58" s="128">
        <v>0</v>
      </c>
      <c r="BS58" s="128">
        <v>1</v>
      </c>
      <c r="BT58" s="128">
        <v>1</v>
      </c>
      <c r="BU58" s="128">
        <v>1</v>
      </c>
      <c r="BV58" s="128">
        <v>1</v>
      </c>
      <c r="BW58" s="128">
        <v>1</v>
      </c>
      <c r="BX58" s="128">
        <v>1</v>
      </c>
      <c r="BY58" s="128"/>
      <c r="BZ58" s="128">
        <v>0</v>
      </c>
      <c r="CA58" s="128">
        <v>0</v>
      </c>
      <c r="CB58" s="128"/>
      <c r="CC58" s="128"/>
      <c r="CD58" s="128"/>
      <c r="CE58" s="128">
        <v>0</v>
      </c>
      <c r="CF58" s="128">
        <v>0</v>
      </c>
      <c r="CG58" s="128">
        <v>0</v>
      </c>
      <c r="CH58" s="128"/>
      <c r="CI58" s="128"/>
      <c r="CJ58" s="128"/>
      <c r="CK58" s="128"/>
      <c r="CL58" s="128"/>
      <c r="CM58" s="128">
        <v>0</v>
      </c>
      <c r="CN58" s="128"/>
      <c r="CO58" s="128">
        <v>0</v>
      </c>
      <c r="CP58" s="128">
        <f t="shared" si="29"/>
        <v>1405</v>
      </c>
      <c r="CQ58" s="128">
        <f t="shared" si="30"/>
        <v>26.81</v>
      </c>
      <c r="CR58" s="128">
        <f t="shared" si="31"/>
        <v>0</v>
      </c>
      <c r="CS58" s="128">
        <f t="shared" si="32"/>
        <v>0</v>
      </c>
      <c r="CT58" s="128">
        <f t="shared" si="33"/>
        <v>0</v>
      </c>
      <c r="CU58" s="128">
        <f t="shared" si="34"/>
        <v>0</v>
      </c>
      <c r="CV58" s="128">
        <f t="shared" si="35"/>
        <v>0</v>
      </c>
      <c r="CW58" s="128">
        <f t="shared" si="36"/>
        <v>0</v>
      </c>
      <c r="CX58" s="128">
        <f t="shared" si="37"/>
        <v>0</v>
      </c>
      <c r="CY58" s="128">
        <f t="shared" si="38"/>
        <v>0</v>
      </c>
      <c r="CZ58" s="128">
        <f t="shared" si="39"/>
        <v>0</v>
      </c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>
        <v>0</v>
      </c>
      <c r="DO58" s="128">
        <v>0</v>
      </c>
      <c r="DP58" s="128">
        <v>1</v>
      </c>
      <c r="DQ58" s="128">
        <v>1</v>
      </c>
      <c r="DR58" s="128"/>
      <c r="DS58" s="128"/>
      <c r="DT58" s="128"/>
      <c r="DU58" s="128">
        <v>1013</v>
      </c>
      <c r="DV58" s="128" t="s">
        <v>180</v>
      </c>
      <c r="DW58" s="128" t="s">
        <v>180</v>
      </c>
      <c r="DX58" s="128">
        <v>1</v>
      </c>
      <c r="DY58" s="128"/>
      <c r="DZ58" s="128"/>
      <c r="EA58" s="128"/>
      <c r="EB58" s="128"/>
      <c r="EC58" s="128"/>
      <c r="ED58" s="128"/>
      <c r="EE58" s="128">
        <v>49587772</v>
      </c>
      <c r="EF58" s="128">
        <v>8</v>
      </c>
      <c r="EG58" s="128" t="s">
        <v>827</v>
      </c>
      <c r="EH58" s="128">
        <v>0</v>
      </c>
      <c r="EI58" s="128"/>
      <c r="EJ58" s="128">
        <v>1</v>
      </c>
      <c r="EK58" s="128">
        <v>500001</v>
      </c>
      <c r="EL58" s="128" t="s">
        <v>7</v>
      </c>
      <c r="EM58" s="128" t="s">
        <v>828</v>
      </c>
      <c r="EN58" s="128"/>
      <c r="EO58" s="128"/>
      <c r="EP58" s="128"/>
      <c r="EQ58" s="128">
        <v>0</v>
      </c>
      <c r="ER58" s="128">
        <v>26.81</v>
      </c>
      <c r="ES58" s="128">
        <v>26.81</v>
      </c>
      <c r="ET58" s="128">
        <v>0</v>
      </c>
      <c r="EU58" s="128">
        <v>0</v>
      </c>
      <c r="EV58" s="128">
        <v>0</v>
      </c>
      <c r="EW58" s="128">
        <v>0</v>
      </c>
      <c r="EX58" s="128">
        <v>0</v>
      </c>
      <c r="EY58" s="128">
        <v>0</v>
      </c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>
        <v>0</v>
      </c>
      <c r="FR58" s="128">
        <f t="shared" si="40"/>
        <v>0</v>
      </c>
      <c r="FS58" s="128">
        <v>0</v>
      </c>
      <c r="FT58" s="128"/>
      <c r="FU58" s="128"/>
      <c r="FV58" s="128"/>
      <c r="FW58" s="128"/>
      <c r="FX58" s="128">
        <v>0</v>
      </c>
      <c r="FY58" s="128">
        <v>0</v>
      </c>
      <c r="FZ58" s="128"/>
      <c r="GA58" s="128"/>
      <c r="GB58" s="128"/>
      <c r="GC58" s="128"/>
      <c r="GD58" s="128">
        <v>1</v>
      </c>
      <c r="GE58" s="128"/>
      <c r="GF58" s="128">
        <v>-1820148312</v>
      </c>
      <c r="GG58" s="128">
        <v>2</v>
      </c>
      <c r="GH58" s="128">
        <v>1</v>
      </c>
      <c r="GI58" s="128">
        <v>-2</v>
      </c>
      <c r="GJ58" s="128">
        <v>0</v>
      </c>
      <c r="GK58" s="128">
        <v>0</v>
      </c>
      <c r="GL58" s="128">
        <f t="shared" si="41"/>
        <v>0</v>
      </c>
      <c r="GM58" s="128">
        <f t="shared" si="42"/>
        <v>1405</v>
      </c>
      <c r="GN58" s="128">
        <f t="shared" si="43"/>
        <v>1405</v>
      </c>
      <c r="GO58" s="128">
        <f t="shared" si="44"/>
        <v>0</v>
      </c>
      <c r="GP58" s="128">
        <f t="shared" si="45"/>
        <v>0</v>
      </c>
      <c r="GQ58" s="128"/>
      <c r="GR58" s="128">
        <v>0</v>
      </c>
      <c r="GS58" s="128">
        <v>2</v>
      </c>
      <c r="GT58" s="128">
        <v>0</v>
      </c>
      <c r="GU58" s="128"/>
      <c r="GV58" s="128">
        <f t="shared" si="46"/>
        <v>0</v>
      </c>
      <c r="GW58" s="128">
        <v>1</v>
      </c>
      <c r="GX58" s="128">
        <f t="shared" si="47"/>
        <v>0</v>
      </c>
      <c r="GY58" s="128"/>
      <c r="GZ58" s="128"/>
      <c r="HA58" s="128">
        <v>0</v>
      </c>
      <c r="HB58" s="128">
        <v>0</v>
      </c>
      <c r="HC58" s="128">
        <f t="shared" si="48"/>
        <v>0</v>
      </c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>
        <v>0</v>
      </c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</row>
    <row r="59" spans="1:255" x14ac:dyDescent="0.2">
      <c r="A59">
        <v>17</v>
      </c>
      <c r="B59">
        <v>1</v>
      </c>
      <c r="E59" t="s">
        <v>139</v>
      </c>
      <c r="F59" t="s">
        <v>870</v>
      </c>
      <c r="G59" t="s">
        <v>871</v>
      </c>
      <c r="H59" t="s">
        <v>180</v>
      </c>
      <c r="I59">
        <v>52.4</v>
      </c>
      <c r="J59">
        <v>0</v>
      </c>
      <c r="O59">
        <f t="shared" si="14"/>
        <v>7035</v>
      </c>
      <c r="P59">
        <f t="shared" si="15"/>
        <v>7035</v>
      </c>
      <c r="Q59">
        <f t="shared" si="16"/>
        <v>0</v>
      </c>
      <c r="R59">
        <f t="shared" si="17"/>
        <v>0</v>
      </c>
      <c r="S59">
        <f t="shared" si="18"/>
        <v>0</v>
      </c>
      <c r="T59">
        <f t="shared" si="19"/>
        <v>0</v>
      </c>
      <c r="U59">
        <f t="shared" si="20"/>
        <v>0</v>
      </c>
      <c r="V59">
        <f t="shared" si="21"/>
        <v>0</v>
      </c>
      <c r="W59">
        <f t="shared" si="22"/>
        <v>0</v>
      </c>
      <c r="X59">
        <f t="shared" si="23"/>
        <v>0</v>
      </c>
      <c r="Y59">
        <f t="shared" si="24"/>
        <v>0</v>
      </c>
      <c r="AA59">
        <v>51866571</v>
      </c>
      <c r="AB59">
        <f t="shared" si="25"/>
        <v>134.26</v>
      </c>
      <c r="AC59">
        <f>ROUND((ES59),6)</f>
        <v>134.26</v>
      </c>
      <c r="AD59">
        <f>ROUND((((ET59)-(EU59))+AE59),6)</f>
        <v>0</v>
      </c>
      <c r="AE59">
        <f>ROUND((EU59),6)</f>
        <v>0</v>
      </c>
      <c r="AF59">
        <f>ROUND((EV59),6)</f>
        <v>0</v>
      </c>
      <c r="AG59">
        <f t="shared" si="27"/>
        <v>0</v>
      </c>
      <c r="AH59">
        <f>(EW59)</f>
        <v>0</v>
      </c>
      <c r="AI59">
        <f>(EX59)</f>
        <v>0</v>
      </c>
      <c r="AJ59">
        <f t="shared" si="28"/>
        <v>0</v>
      </c>
      <c r="AK59">
        <v>134.26</v>
      </c>
      <c r="AL59">
        <v>134.26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1</v>
      </c>
      <c r="BH59">
        <v>3</v>
      </c>
      <c r="BI59">
        <v>1</v>
      </c>
      <c r="BJ59" t="s">
        <v>872</v>
      </c>
      <c r="BM59">
        <v>500001</v>
      </c>
      <c r="BN59">
        <v>0</v>
      </c>
      <c r="BP59">
        <v>0</v>
      </c>
      <c r="BQ59">
        <v>8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Z59">
        <v>0</v>
      </c>
      <c r="CA59">
        <v>0</v>
      </c>
      <c r="CE59">
        <v>0</v>
      </c>
      <c r="CF59">
        <v>0</v>
      </c>
      <c r="CG59">
        <v>0</v>
      </c>
      <c r="CM59">
        <v>0</v>
      </c>
      <c r="CO59">
        <v>0</v>
      </c>
      <c r="CP59">
        <f t="shared" si="29"/>
        <v>7035</v>
      </c>
      <c r="CQ59">
        <f t="shared" si="30"/>
        <v>134.26</v>
      </c>
      <c r="CR59">
        <f t="shared" si="31"/>
        <v>0</v>
      </c>
      <c r="CS59">
        <f t="shared" si="32"/>
        <v>0</v>
      </c>
      <c r="CT59">
        <f t="shared" si="33"/>
        <v>0</v>
      </c>
      <c r="CU59">
        <f t="shared" si="34"/>
        <v>0</v>
      </c>
      <c r="CV59">
        <f t="shared" si="35"/>
        <v>0</v>
      </c>
      <c r="CW59">
        <f t="shared" si="36"/>
        <v>0</v>
      </c>
      <c r="CX59">
        <f t="shared" si="37"/>
        <v>0</v>
      </c>
      <c r="CY59">
        <f t="shared" si="38"/>
        <v>0</v>
      </c>
      <c r="CZ59">
        <f t="shared" si="39"/>
        <v>0</v>
      </c>
      <c r="DN59">
        <v>0</v>
      </c>
      <c r="DO59">
        <v>0</v>
      </c>
      <c r="DP59">
        <v>1</v>
      </c>
      <c r="DQ59">
        <v>1</v>
      </c>
      <c r="DU59">
        <v>1013</v>
      </c>
      <c r="DV59" t="s">
        <v>180</v>
      </c>
      <c r="DW59" t="s">
        <v>180</v>
      </c>
      <c r="DX59">
        <v>1</v>
      </c>
      <c r="EE59">
        <v>49587772</v>
      </c>
      <c r="EF59">
        <v>8</v>
      </c>
      <c r="EG59" t="s">
        <v>827</v>
      </c>
      <c r="EH59">
        <v>0</v>
      </c>
      <c r="EJ59">
        <v>1</v>
      </c>
      <c r="EK59">
        <v>500001</v>
      </c>
      <c r="EL59" t="s">
        <v>7</v>
      </c>
      <c r="EM59" t="s">
        <v>828</v>
      </c>
      <c r="EQ59">
        <v>0</v>
      </c>
      <c r="ER59">
        <v>134.26</v>
      </c>
      <c r="ES59">
        <v>134.26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FQ59">
        <v>0</v>
      </c>
      <c r="FR59">
        <f t="shared" si="40"/>
        <v>0</v>
      </c>
      <c r="FS59">
        <v>0</v>
      </c>
      <c r="FX59">
        <v>0</v>
      </c>
      <c r="FY59">
        <v>0</v>
      </c>
      <c r="GD59">
        <v>1</v>
      </c>
      <c r="GE59">
        <v>26.81</v>
      </c>
      <c r="GF59">
        <v>-1820148312</v>
      </c>
      <c r="GG59">
        <v>2</v>
      </c>
      <c r="GH59">
        <v>1</v>
      </c>
      <c r="GI59">
        <v>-2</v>
      </c>
      <c r="GJ59">
        <v>0</v>
      </c>
      <c r="GK59">
        <v>0</v>
      </c>
      <c r="GL59">
        <f t="shared" si="41"/>
        <v>0</v>
      </c>
      <c r="GM59">
        <f t="shared" si="42"/>
        <v>7035</v>
      </c>
      <c r="GN59">
        <f t="shared" si="43"/>
        <v>7035</v>
      </c>
      <c r="GO59">
        <f t="shared" si="44"/>
        <v>0</v>
      </c>
      <c r="GP59">
        <f t="shared" si="45"/>
        <v>0</v>
      </c>
      <c r="GR59">
        <v>3</v>
      </c>
      <c r="GS59">
        <v>3</v>
      </c>
      <c r="GT59">
        <v>0</v>
      </c>
      <c r="GV59">
        <f t="shared" si="46"/>
        <v>0</v>
      </c>
      <c r="GW59">
        <v>1</v>
      </c>
      <c r="GX59">
        <f t="shared" si="47"/>
        <v>0</v>
      </c>
      <c r="HA59">
        <v>0</v>
      </c>
      <c r="HB59">
        <v>0</v>
      </c>
      <c r="HC59">
        <f t="shared" si="48"/>
        <v>0</v>
      </c>
      <c r="IK59">
        <v>0</v>
      </c>
    </row>
    <row r="60" spans="1:255" x14ac:dyDescent="0.2">
      <c r="A60" s="128">
        <v>17</v>
      </c>
      <c r="B60" s="128">
        <v>1</v>
      </c>
      <c r="C60" s="128">
        <f>ROW(SmtRes!A114)</f>
        <v>114</v>
      </c>
      <c r="D60" s="128">
        <f>ROW(EtalonRes!A124)</f>
        <v>124</v>
      </c>
      <c r="E60" s="128" t="s">
        <v>140</v>
      </c>
      <c r="F60" s="128" t="s">
        <v>873</v>
      </c>
      <c r="G60" s="128" t="s">
        <v>874</v>
      </c>
      <c r="H60" s="128" t="s">
        <v>125</v>
      </c>
      <c r="I60" s="128">
        <f>ROUND((2.8782+6.4296+0.06288+3.1624),2)</f>
        <v>12.53</v>
      </c>
      <c r="J60" s="128">
        <v>0</v>
      </c>
      <c r="K60" s="128"/>
      <c r="L60" s="128"/>
      <c r="M60" s="128"/>
      <c r="N60" s="128"/>
      <c r="O60" s="128">
        <f t="shared" si="14"/>
        <v>5231</v>
      </c>
      <c r="P60" s="128">
        <f t="shared" si="15"/>
        <v>0</v>
      </c>
      <c r="Q60" s="128">
        <f t="shared" si="16"/>
        <v>2856</v>
      </c>
      <c r="R60" s="128">
        <f t="shared" si="17"/>
        <v>0</v>
      </c>
      <c r="S60" s="128">
        <f t="shared" si="18"/>
        <v>2375</v>
      </c>
      <c r="T60" s="128">
        <f t="shared" si="19"/>
        <v>0</v>
      </c>
      <c r="U60" s="128">
        <f t="shared" si="20"/>
        <v>7.2385809999999999</v>
      </c>
      <c r="V60" s="128">
        <f t="shared" si="21"/>
        <v>0</v>
      </c>
      <c r="W60" s="128">
        <f t="shared" si="22"/>
        <v>0</v>
      </c>
      <c r="X60" s="128">
        <f t="shared" si="23"/>
        <v>0</v>
      </c>
      <c r="Y60" s="128">
        <f t="shared" si="24"/>
        <v>0</v>
      </c>
      <c r="Z60" s="128"/>
      <c r="AA60" s="128">
        <v>51866573</v>
      </c>
      <c r="AB60" s="128">
        <f t="shared" si="25"/>
        <v>417.48993999999999</v>
      </c>
      <c r="AC60" s="128">
        <f>ROUND((0),6)</f>
        <v>0</v>
      </c>
      <c r="AD60" s="128">
        <f>ROUND(((SUM(SmtRes!BR113:BR114))+ROUND(((0)*1.6),2)),6)</f>
        <v>227.9342</v>
      </c>
      <c r="AE60" s="128">
        <f>ROUND(((0)+ROUND(((0)*1.6),2)),6)</f>
        <v>0</v>
      </c>
      <c r="AF60" s="128">
        <f>ROUND(((SUM(SmtRes!BT113:BT114))+ROUND(((SUM(SmtRes!BT113:BT114))*1.6),2)),6)</f>
        <v>189.55573999999999</v>
      </c>
      <c r="AG60" s="128">
        <f t="shared" si="27"/>
        <v>0</v>
      </c>
      <c r="AH60" s="128">
        <f>(SUM(SmtRes!BU113:BU114))</f>
        <v>0.57769999999999999</v>
      </c>
      <c r="AI60" s="128">
        <f>(0)</f>
        <v>0</v>
      </c>
      <c r="AJ60" s="128">
        <f t="shared" si="28"/>
        <v>0</v>
      </c>
      <c r="AK60" s="128">
        <v>300.83994000000001</v>
      </c>
      <c r="AL60" s="128">
        <v>0</v>
      </c>
      <c r="AM60" s="128">
        <v>227.9342</v>
      </c>
      <c r="AN60" s="128">
        <v>0</v>
      </c>
      <c r="AO60" s="128">
        <v>72.905739999999994</v>
      </c>
      <c r="AP60" s="128">
        <v>0</v>
      </c>
      <c r="AQ60" s="128">
        <v>0.57769999999999999</v>
      </c>
      <c r="AR60" s="128">
        <v>0</v>
      </c>
      <c r="AS60" s="128">
        <v>0</v>
      </c>
      <c r="AT60" s="128">
        <v>0</v>
      </c>
      <c r="AU60" s="128">
        <v>0</v>
      </c>
      <c r="AV60" s="128">
        <v>1</v>
      </c>
      <c r="AW60" s="128">
        <v>1</v>
      </c>
      <c r="AX60" s="128"/>
      <c r="AY60" s="128"/>
      <c r="AZ60" s="128">
        <v>1</v>
      </c>
      <c r="BA60" s="128">
        <v>1</v>
      </c>
      <c r="BB60" s="128">
        <v>1</v>
      </c>
      <c r="BC60" s="128">
        <v>1</v>
      </c>
      <c r="BD60" s="128"/>
      <c r="BE60" s="128"/>
      <c r="BF60" s="128"/>
      <c r="BG60" s="128"/>
      <c r="BH60" s="128">
        <v>0</v>
      </c>
      <c r="BI60" s="128">
        <v>1</v>
      </c>
      <c r="BJ60" s="128" t="s">
        <v>875</v>
      </c>
      <c r="BK60" s="128"/>
      <c r="BL60" s="128"/>
      <c r="BM60" s="128">
        <v>700004</v>
      </c>
      <c r="BN60" s="128">
        <v>0</v>
      </c>
      <c r="BO60" s="128"/>
      <c r="BP60" s="128">
        <v>0</v>
      </c>
      <c r="BQ60" s="128">
        <v>19</v>
      </c>
      <c r="BR60" s="128">
        <v>0</v>
      </c>
      <c r="BS60" s="128">
        <v>1</v>
      </c>
      <c r="BT60" s="128">
        <v>1</v>
      </c>
      <c r="BU60" s="128">
        <v>1</v>
      </c>
      <c r="BV60" s="128">
        <v>1</v>
      </c>
      <c r="BW60" s="128">
        <v>1</v>
      </c>
      <c r="BX60" s="128">
        <v>1</v>
      </c>
      <c r="BY60" s="128"/>
      <c r="BZ60" s="128">
        <v>0</v>
      </c>
      <c r="CA60" s="128">
        <v>0</v>
      </c>
      <c r="CB60" s="128"/>
      <c r="CC60" s="128"/>
      <c r="CD60" s="128"/>
      <c r="CE60" s="128">
        <v>0</v>
      </c>
      <c r="CF60" s="128">
        <v>0</v>
      </c>
      <c r="CG60" s="128">
        <v>0</v>
      </c>
      <c r="CH60" s="128"/>
      <c r="CI60" s="128"/>
      <c r="CJ60" s="128"/>
      <c r="CK60" s="128"/>
      <c r="CL60" s="128"/>
      <c r="CM60" s="128">
        <v>0</v>
      </c>
      <c r="CN60" s="128"/>
      <c r="CO60" s="128">
        <v>0</v>
      </c>
      <c r="CP60" s="128">
        <f t="shared" si="29"/>
        <v>5231</v>
      </c>
      <c r="CQ60" s="128">
        <f t="shared" si="30"/>
        <v>0</v>
      </c>
      <c r="CR60" s="128">
        <f t="shared" si="31"/>
        <v>227.9342</v>
      </c>
      <c r="CS60" s="128">
        <f t="shared" si="32"/>
        <v>0</v>
      </c>
      <c r="CT60" s="128">
        <f t="shared" si="33"/>
        <v>189.55573999999999</v>
      </c>
      <c r="CU60" s="128">
        <f t="shared" si="34"/>
        <v>0</v>
      </c>
      <c r="CV60" s="128">
        <f t="shared" si="35"/>
        <v>0.57769999999999999</v>
      </c>
      <c r="CW60" s="128">
        <f t="shared" si="36"/>
        <v>0</v>
      </c>
      <c r="CX60" s="128">
        <f t="shared" si="37"/>
        <v>0</v>
      </c>
      <c r="CY60" s="128">
        <f t="shared" si="38"/>
        <v>0</v>
      </c>
      <c r="CZ60" s="128">
        <f t="shared" si="39"/>
        <v>0</v>
      </c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>
        <v>0</v>
      </c>
      <c r="DO60" s="128">
        <v>0</v>
      </c>
      <c r="DP60" s="128">
        <v>1</v>
      </c>
      <c r="DQ60" s="128">
        <v>1</v>
      </c>
      <c r="DR60" s="128"/>
      <c r="DS60" s="128"/>
      <c r="DT60" s="128"/>
      <c r="DU60" s="128">
        <v>1013</v>
      </c>
      <c r="DV60" s="128" t="s">
        <v>125</v>
      </c>
      <c r="DW60" s="128" t="s">
        <v>125</v>
      </c>
      <c r="DX60" s="128">
        <v>1</v>
      </c>
      <c r="DY60" s="128"/>
      <c r="DZ60" s="128"/>
      <c r="EA60" s="128"/>
      <c r="EB60" s="128"/>
      <c r="EC60" s="128"/>
      <c r="ED60" s="128"/>
      <c r="EE60" s="128">
        <v>49588027</v>
      </c>
      <c r="EF60" s="128">
        <v>19</v>
      </c>
      <c r="EG60" s="128" t="s">
        <v>133</v>
      </c>
      <c r="EH60" s="128">
        <v>0</v>
      </c>
      <c r="EI60" s="128"/>
      <c r="EJ60" s="128">
        <v>1</v>
      </c>
      <c r="EK60" s="128">
        <v>700004</v>
      </c>
      <c r="EL60" s="128" t="s">
        <v>9</v>
      </c>
      <c r="EM60" s="128" t="s">
        <v>876</v>
      </c>
      <c r="EN60" s="128"/>
      <c r="EO60" s="128"/>
      <c r="EP60" s="128"/>
      <c r="EQ60" s="128">
        <v>0</v>
      </c>
      <c r="ER60" s="128">
        <v>36.9</v>
      </c>
      <c r="ES60" s="128">
        <v>0</v>
      </c>
      <c r="ET60" s="128">
        <v>26.81</v>
      </c>
      <c r="EU60" s="128">
        <v>3</v>
      </c>
      <c r="EV60" s="128">
        <v>3.88</v>
      </c>
      <c r="EW60" s="128">
        <v>0.57769999999999999</v>
      </c>
      <c r="EX60" s="128">
        <v>0</v>
      </c>
      <c r="EY60" s="128">
        <v>0</v>
      </c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>
        <v>0</v>
      </c>
      <c r="FR60" s="128">
        <f t="shared" si="40"/>
        <v>0</v>
      </c>
      <c r="FS60" s="128">
        <v>0</v>
      </c>
      <c r="FT60" s="128"/>
      <c r="FU60" s="128"/>
      <c r="FV60" s="128"/>
      <c r="FW60" s="128"/>
      <c r="FX60" s="128">
        <v>0</v>
      </c>
      <c r="FY60" s="128">
        <v>0</v>
      </c>
      <c r="FZ60" s="128"/>
      <c r="GA60" s="128"/>
      <c r="GB60" s="128"/>
      <c r="GC60" s="128"/>
      <c r="GD60" s="128">
        <v>1</v>
      </c>
      <c r="GE60" s="128"/>
      <c r="GF60" s="128">
        <v>1145130595</v>
      </c>
      <c r="GG60" s="128">
        <v>2</v>
      </c>
      <c r="GH60" s="128">
        <v>1</v>
      </c>
      <c r="GI60" s="128">
        <v>-2</v>
      </c>
      <c r="GJ60" s="128">
        <v>0</v>
      </c>
      <c r="GK60" s="128">
        <v>0</v>
      </c>
      <c r="GL60" s="128">
        <f t="shared" si="41"/>
        <v>0</v>
      </c>
      <c r="GM60" s="128">
        <f t="shared" si="42"/>
        <v>5231</v>
      </c>
      <c r="GN60" s="128">
        <f t="shared" si="43"/>
        <v>5231</v>
      </c>
      <c r="GO60" s="128">
        <f t="shared" si="44"/>
        <v>0</v>
      </c>
      <c r="GP60" s="128">
        <f t="shared" si="45"/>
        <v>0</v>
      </c>
      <c r="GQ60" s="128"/>
      <c r="GR60" s="128">
        <v>0</v>
      </c>
      <c r="GS60" s="128">
        <v>0</v>
      </c>
      <c r="GT60" s="128">
        <v>0</v>
      </c>
      <c r="GU60" s="128"/>
      <c r="GV60" s="128">
        <f t="shared" si="46"/>
        <v>0</v>
      </c>
      <c r="GW60" s="128">
        <v>1</v>
      </c>
      <c r="GX60" s="128">
        <f t="shared" si="47"/>
        <v>0</v>
      </c>
      <c r="GY60" s="128"/>
      <c r="GZ60" s="128"/>
      <c r="HA60" s="128">
        <v>0</v>
      </c>
      <c r="HB60" s="128">
        <v>0</v>
      </c>
      <c r="HC60" s="128">
        <f t="shared" si="48"/>
        <v>0</v>
      </c>
      <c r="HD60" s="128">
        <f>GM60</f>
        <v>5231</v>
      </c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>
        <v>0</v>
      </c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</row>
    <row r="61" spans="1:255" x14ac:dyDescent="0.2">
      <c r="A61">
        <v>17</v>
      </c>
      <c r="B61">
        <v>1</v>
      </c>
      <c r="C61">
        <f>ROW(SmtRes!A116)</f>
        <v>116</v>
      </c>
      <c r="D61">
        <f>ROW(EtalonRes!A126)</f>
        <v>126</v>
      </c>
      <c r="E61" t="s">
        <v>140</v>
      </c>
      <c r="F61" t="s">
        <v>873</v>
      </c>
      <c r="G61" t="s">
        <v>874</v>
      </c>
      <c r="H61" t="s">
        <v>125</v>
      </c>
      <c r="I61">
        <f>ROUND((2.8782+6.4296+0.06288+3.1624),2)</f>
        <v>12.53</v>
      </c>
      <c r="J61">
        <v>0</v>
      </c>
      <c r="O61">
        <f t="shared" si="14"/>
        <v>5351</v>
      </c>
      <c r="P61">
        <f t="shared" si="15"/>
        <v>0</v>
      </c>
      <c r="Q61">
        <f t="shared" si="16"/>
        <v>2856</v>
      </c>
      <c r="R61">
        <f t="shared" si="17"/>
        <v>0</v>
      </c>
      <c r="S61">
        <f t="shared" si="18"/>
        <v>2495</v>
      </c>
      <c r="T61">
        <f t="shared" si="19"/>
        <v>0</v>
      </c>
      <c r="U61">
        <f t="shared" si="20"/>
        <v>7.2385809999999999</v>
      </c>
      <c r="V61">
        <f t="shared" si="21"/>
        <v>0</v>
      </c>
      <c r="W61">
        <f t="shared" si="22"/>
        <v>0</v>
      </c>
      <c r="X61">
        <f t="shared" si="23"/>
        <v>0</v>
      </c>
      <c r="Y61">
        <f t="shared" si="24"/>
        <v>0</v>
      </c>
      <c r="AA61">
        <v>51866571</v>
      </c>
      <c r="AB61">
        <f t="shared" si="25"/>
        <v>427.059889</v>
      </c>
      <c r="AC61">
        <f>ROUND((0),6)</f>
        <v>0</v>
      </c>
      <c r="AD61">
        <f>ROUND(((SUM(SmtRes!BR115:BR116))+ROUND(((0)*1.6),2)),6)</f>
        <v>227.9342</v>
      </c>
      <c r="AE61">
        <f>ROUND(((0)+ROUND(((0)*1.6),2)),6)</f>
        <v>0</v>
      </c>
      <c r="AF61">
        <f>ROUND(((SUM(SmtRes!BT115:BT116))+ROUND(((SUM(SmtRes!BT115:BT116))*1.6),2)),6)</f>
        <v>199.12568899999999</v>
      </c>
      <c r="AG61">
        <f t="shared" si="27"/>
        <v>0</v>
      </c>
      <c r="AH61">
        <f>(SUM(SmtRes!BU115:BU116))</f>
        <v>0.57769999999999999</v>
      </c>
      <c r="AI61">
        <f>(0)</f>
        <v>0</v>
      </c>
      <c r="AJ61">
        <f t="shared" si="28"/>
        <v>0</v>
      </c>
      <c r="AK61">
        <v>304.51988899999998</v>
      </c>
      <c r="AL61">
        <v>0</v>
      </c>
      <c r="AM61">
        <v>227.9342</v>
      </c>
      <c r="AN61">
        <v>0</v>
      </c>
      <c r="AO61">
        <v>76.585689000000002</v>
      </c>
      <c r="AP61">
        <v>0</v>
      </c>
      <c r="AQ61">
        <v>0.57769999999999999</v>
      </c>
      <c r="AR61">
        <v>0</v>
      </c>
      <c r="AS61">
        <v>0</v>
      </c>
      <c r="AT61">
        <v>0</v>
      </c>
      <c r="AU61">
        <v>0</v>
      </c>
      <c r="AV61">
        <v>1</v>
      </c>
      <c r="AW61">
        <v>1</v>
      </c>
      <c r="AZ61">
        <v>1</v>
      </c>
      <c r="BA61">
        <v>1</v>
      </c>
      <c r="BB61">
        <v>1</v>
      </c>
      <c r="BC61">
        <v>1</v>
      </c>
      <c r="BH61">
        <v>0</v>
      </c>
      <c r="BI61">
        <v>1</v>
      </c>
      <c r="BJ61" t="s">
        <v>875</v>
      </c>
      <c r="BM61">
        <v>700004</v>
      </c>
      <c r="BN61">
        <v>0</v>
      </c>
      <c r="BP61">
        <v>0</v>
      </c>
      <c r="BQ61">
        <v>19</v>
      </c>
      <c r="BR61">
        <v>0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Z61">
        <v>0</v>
      </c>
      <c r="CA61">
        <v>0</v>
      </c>
      <c r="CE61">
        <v>0</v>
      </c>
      <c r="CF61">
        <v>0</v>
      </c>
      <c r="CG61">
        <v>0</v>
      </c>
      <c r="CM61">
        <v>0</v>
      </c>
      <c r="CO61">
        <v>0</v>
      </c>
      <c r="CP61">
        <f t="shared" si="29"/>
        <v>5351</v>
      </c>
      <c r="CQ61">
        <f t="shared" si="30"/>
        <v>0</v>
      </c>
      <c r="CR61">
        <f t="shared" si="31"/>
        <v>227.9342</v>
      </c>
      <c r="CS61">
        <f t="shared" si="32"/>
        <v>0</v>
      </c>
      <c r="CT61">
        <f t="shared" si="33"/>
        <v>199.12568899999999</v>
      </c>
      <c r="CU61">
        <f t="shared" si="34"/>
        <v>0</v>
      </c>
      <c r="CV61">
        <f t="shared" si="35"/>
        <v>0.57769999999999999</v>
      </c>
      <c r="CW61">
        <f t="shared" si="36"/>
        <v>0</v>
      </c>
      <c r="CX61">
        <f t="shared" si="37"/>
        <v>0</v>
      </c>
      <c r="CY61">
        <f t="shared" si="38"/>
        <v>0</v>
      </c>
      <c r="CZ61">
        <f t="shared" si="39"/>
        <v>0</v>
      </c>
      <c r="DN61">
        <v>0</v>
      </c>
      <c r="DO61">
        <v>0</v>
      </c>
      <c r="DP61">
        <v>1</v>
      </c>
      <c r="DQ61">
        <v>1</v>
      </c>
      <c r="DU61">
        <v>1013</v>
      </c>
      <c r="DV61" t="s">
        <v>125</v>
      </c>
      <c r="DW61" t="s">
        <v>125</v>
      </c>
      <c r="DX61">
        <v>1</v>
      </c>
      <c r="EE61">
        <v>49588027</v>
      </c>
      <c r="EF61">
        <v>19</v>
      </c>
      <c r="EG61" t="s">
        <v>133</v>
      </c>
      <c r="EH61">
        <v>0</v>
      </c>
      <c r="EJ61">
        <v>1</v>
      </c>
      <c r="EK61">
        <v>700004</v>
      </c>
      <c r="EL61" t="s">
        <v>9</v>
      </c>
      <c r="EM61" t="s">
        <v>876</v>
      </c>
      <c r="EQ61">
        <v>0</v>
      </c>
      <c r="ER61">
        <v>434</v>
      </c>
      <c r="ES61">
        <v>0</v>
      </c>
      <c r="ET61">
        <v>434</v>
      </c>
      <c r="EU61">
        <v>0</v>
      </c>
      <c r="EV61">
        <v>0</v>
      </c>
      <c r="EW61">
        <v>0.57769999999999999</v>
      </c>
      <c r="EX61">
        <v>0</v>
      </c>
      <c r="EY61">
        <v>0</v>
      </c>
      <c r="FQ61">
        <v>0</v>
      </c>
      <c r="FR61">
        <f t="shared" si="40"/>
        <v>0</v>
      </c>
      <c r="FS61">
        <v>0</v>
      </c>
      <c r="FX61">
        <v>0</v>
      </c>
      <c r="FY61">
        <v>0</v>
      </c>
      <c r="GD61">
        <v>1</v>
      </c>
      <c r="GF61">
        <v>1145130595</v>
      </c>
      <c r="GG61">
        <v>2</v>
      </c>
      <c r="GH61">
        <v>1</v>
      </c>
      <c r="GI61">
        <v>-2</v>
      </c>
      <c r="GJ61">
        <v>0</v>
      </c>
      <c r="GK61">
        <v>0</v>
      </c>
      <c r="GL61">
        <f t="shared" si="41"/>
        <v>0</v>
      </c>
      <c r="GM61">
        <f t="shared" si="42"/>
        <v>5351</v>
      </c>
      <c r="GN61">
        <f t="shared" si="43"/>
        <v>5351</v>
      </c>
      <c r="GO61">
        <f t="shared" si="44"/>
        <v>0</v>
      </c>
      <c r="GP61">
        <f t="shared" si="45"/>
        <v>0</v>
      </c>
      <c r="GR61">
        <v>0</v>
      </c>
      <c r="GS61">
        <v>3</v>
      </c>
      <c r="GT61">
        <v>0</v>
      </c>
      <c r="GV61">
        <f t="shared" si="46"/>
        <v>0</v>
      </c>
      <c r="GW61">
        <v>1</v>
      </c>
      <c r="GX61">
        <f t="shared" si="47"/>
        <v>0</v>
      </c>
      <c r="HA61">
        <v>0</v>
      </c>
      <c r="HB61">
        <v>0</v>
      </c>
      <c r="HC61">
        <f t="shared" si="48"/>
        <v>0</v>
      </c>
      <c r="HD61">
        <f>GM61</f>
        <v>5351</v>
      </c>
      <c r="IK61">
        <v>0</v>
      </c>
    </row>
    <row r="62" spans="1:255" x14ac:dyDescent="0.2">
      <c r="A62" s="128">
        <v>17</v>
      </c>
      <c r="B62" s="128">
        <v>1</v>
      </c>
      <c r="C62" s="128">
        <f>ROW(SmtRes!A117)</f>
        <v>117</v>
      </c>
      <c r="D62" s="128">
        <f>ROW(EtalonRes!A127)</f>
        <v>127</v>
      </c>
      <c r="E62" s="128" t="s">
        <v>141</v>
      </c>
      <c r="F62" s="128" t="s">
        <v>877</v>
      </c>
      <c r="G62" s="128" t="s">
        <v>878</v>
      </c>
      <c r="H62" s="128" t="s">
        <v>125</v>
      </c>
      <c r="I62" s="128">
        <f>ROUND(I60,9)</f>
        <v>12.53</v>
      </c>
      <c r="J62" s="128">
        <v>0</v>
      </c>
      <c r="K62" s="128"/>
      <c r="L62" s="128"/>
      <c r="M62" s="128"/>
      <c r="N62" s="128"/>
      <c r="O62" s="128">
        <f t="shared" si="14"/>
        <v>317</v>
      </c>
      <c r="P62" s="128">
        <f t="shared" si="15"/>
        <v>0</v>
      </c>
      <c r="Q62" s="128">
        <f t="shared" si="16"/>
        <v>317</v>
      </c>
      <c r="R62" s="128">
        <f t="shared" si="17"/>
        <v>86</v>
      </c>
      <c r="S62" s="128">
        <f t="shared" si="18"/>
        <v>0</v>
      </c>
      <c r="T62" s="128">
        <f t="shared" si="19"/>
        <v>0</v>
      </c>
      <c r="U62" s="128">
        <f t="shared" si="20"/>
        <v>0</v>
      </c>
      <c r="V62" s="128">
        <f t="shared" si="21"/>
        <v>0</v>
      </c>
      <c r="W62" s="128">
        <f t="shared" si="22"/>
        <v>0</v>
      </c>
      <c r="X62" s="128">
        <f t="shared" si="23"/>
        <v>0</v>
      </c>
      <c r="Y62" s="128">
        <f t="shared" si="24"/>
        <v>0</v>
      </c>
      <c r="Z62" s="128"/>
      <c r="AA62" s="128">
        <v>51866573</v>
      </c>
      <c r="AB62" s="128">
        <f t="shared" si="25"/>
        <v>25.315754999999999</v>
      </c>
      <c r="AC62" s="128">
        <f>ROUND((0),6)</f>
        <v>0</v>
      </c>
      <c r="AD62" s="128">
        <f>ROUND(((SUM(SmtRes!BR117:BR117))+ROUND(((SUM(SmtRes!BS117:BS117))*1.85),2)),6)</f>
        <v>25.315754999999999</v>
      </c>
      <c r="AE62" s="128">
        <f>ROUND(((SUM(SmtRes!BS117:BS117))+ROUND(((SUM(SmtRes!BS117:BS117))*1.85),2)),6)</f>
        <v>6.8839499999999996</v>
      </c>
      <c r="AF62" s="128">
        <f>ROUND(((0)+ROUND(((0)*1.85),2)),6)</f>
        <v>0</v>
      </c>
      <c r="AG62" s="128">
        <f t="shared" si="27"/>
        <v>0</v>
      </c>
      <c r="AH62" s="128">
        <f>(0)</f>
        <v>0</v>
      </c>
      <c r="AI62" s="128">
        <f>(0)</f>
        <v>0</v>
      </c>
      <c r="AJ62" s="128">
        <f t="shared" si="28"/>
        <v>0</v>
      </c>
      <c r="AK62" s="128">
        <v>20.845755</v>
      </c>
      <c r="AL62" s="128">
        <v>0</v>
      </c>
      <c r="AM62" s="128">
        <v>20.845755</v>
      </c>
      <c r="AN62" s="128">
        <v>2.4139499999999998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1</v>
      </c>
      <c r="AW62" s="128">
        <v>1</v>
      </c>
      <c r="AX62" s="128"/>
      <c r="AY62" s="128"/>
      <c r="AZ62" s="128">
        <v>1</v>
      </c>
      <c r="BA62" s="128">
        <v>1</v>
      </c>
      <c r="BB62" s="128">
        <v>1</v>
      </c>
      <c r="BC62" s="128">
        <v>1</v>
      </c>
      <c r="BD62" s="128"/>
      <c r="BE62" s="128"/>
      <c r="BF62" s="128"/>
      <c r="BG62" s="128"/>
      <c r="BH62" s="128">
        <v>0</v>
      </c>
      <c r="BI62" s="128">
        <v>1</v>
      </c>
      <c r="BJ62" s="128" t="s">
        <v>879</v>
      </c>
      <c r="BK62" s="128"/>
      <c r="BL62" s="128"/>
      <c r="BM62" s="128">
        <v>700001</v>
      </c>
      <c r="BN62" s="128">
        <v>0</v>
      </c>
      <c r="BO62" s="128"/>
      <c r="BP62" s="128">
        <v>0</v>
      </c>
      <c r="BQ62" s="128">
        <v>10</v>
      </c>
      <c r="BR62" s="128">
        <v>0</v>
      </c>
      <c r="BS62" s="128">
        <v>1</v>
      </c>
      <c r="BT62" s="128">
        <v>1</v>
      </c>
      <c r="BU62" s="128">
        <v>1</v>
      </c>
      <c r="BV62" s="128">
        <v>1</v>
      </c>
      <c r="BW62" s="128">
        <v>1</v>
      </c>
      <c r="BX62" s="128">
        <v>1</v>
      </c>
      <c r="BY62" s="128"/>
      <c r="BZ62" s="128">
        <v>0</v>
      </c>
      <c r="CA62" s="128">
        <v>0</v>
      </c>
      <c r="CB62" s="128"/>
      <c r="CC62" s="128"/>
      <c r="CD62" s="128"/>
      <c r="CE62" s="128">
        <v>0</v>
      </c>
      <c r="CF62" s="128">
        <v>0</v>
      </c>
      <c r="CG62" s="128">
        <v>0</v>
      </c>
      <c r="CH62" s="128"/>
      <c r="CI62" s="128"/>
      <c r="CJ62" s="128"/>
      <c r="CK62" s="128"/>
      <c r="CL62" s="128"/>
      <c r="CM62" s="128">
        <v>0</v>
      </c>
      <c r="CN62" s="128"/>
      <c r="CO62" s="128">
        <v>0</v>
      </c>
      <c r="CP62" s="128">
        <f t="shared" si="29"/>
        <v>317</v>
      </c>
      <c r="CQ62" s="128">
        <f t="shared" si="30"/>
        <v>0</v>
      </c>
      <c r="CR62" s="128">
        <f t="shared" si="31"/>
        <v>25.315754999999999</v>
      </c>
      <c r="CS62" s="128">
        <f t="shared" si="32"/>
        <v>6.8839499999999996</v>
      </c>
      <c r="CT62" s="128">
        <f t="shared" si="33"/>
        <v>0</v>
      </c>
      <c r="CU62" s="128">
        <f t="shared" si="34"/>
        <v>0</v>
      </c>
      <c r="CV62" s="128">
        <f t="shared" si="35"/>
        <v>0</v>
      </c>
      <c r="CW62" s="128">
        <f t="shared" si="36"/>
        <v>0</v>
      </c>
      <c r="CX62" s="128">
        <f t="shared" si="37"/>
        <v>0</v>
      </c>
      <c r="CY62" s="128">
        <f t="shared" si="38"/>
        <v>0</v>
      </c>
      <c r="CZ62" s="128">
        <f t="shared" si="39"/>
        <v>0</v>
      </c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>
        <v>0</v>
      </c>
      <c r="DO62" s="128">
        <v>0</v>
      </c>
      <c r="DP62" s="128">
        <v>1</v>
      </c>
      <c r="DQ62" s="128">
        <v>1</v>
      </c>
      <c r="DR62" s="128"/>
      <c r="DS62" s="128"/>
      <c r="DT62" s="128"/>
      <c r="DU62" s="128">
        <v>1013</v>
      </c>
      <c r="DV62" s="128" t="s">
        <v>125</v>
      </c>
      <c r="DW62" s="128" t="s">
        <v>125</v>
      </c>
      <c r="DX62" s="128">
        <v>1</v>
      </c>
      <c r="DY62" s="128"/>
      <c r="DZ62" s="128"/>
      <c r="EA62" s="128"/>
      <c r="EB62" s="128"/>
      <c r="EC62" s="128"/>
      <c r="ED62" s="128"/>
      <c r="EE62" s="128">
        <v>49587777</v>
      </c>
      <c r="EF62" s="128">
        <v>10</v>
      </c>
      <c r="EG62" s="128" t="s">
        <v>880</v>
      </c>
      <c r="EH62" s="128">
        <v>0</v>
      </c>
      <c r="EI62" s="128"/>
      <c r="EJ62" s="128">
        <v>1</v>
      </c>
      <c r="EK62" s="128">
        <v>700001</v>
      </c>
      <c r="EL62" s="128" t="s">
        <v>8</v>
      </c>
      <c r="EM62" s="128" t="s">
        <v>881</v>
      </c>
      <c r="EN62" s="128"/>
      <c r="EO62" s="128"/>
      <c r="EP62" s="128"/>
      <c r="EQ62" s="128">
        <v>0</v>
      </c>
      <c r="ER62" s="128">
        <v>20.85</v>
      </c>
      <c r="ES62" s="128">
        <v>0</v>
      </c>
      <c r="ET62" s="128">
        <v>20.85</v>
      </c>
      <c r="EU62" s="128">
        <v>0</v>
      </c>
      <c r="EV62" s="128">
        <v>0</v>
      </c>
      <c r="EW62" s="128">
        <v>0</v>
      </c>
      <c r="EX62" s="128">
        <v>0</v>
      </c>
      <c r="EY62" s="128">
        <v>0</v>
      </c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>
        <v>0</v>
      </c>
      <c r="FR62" s="128">
        <f t="shared" si="40"/>
        <v>0</v>
      </c>
      <c r="FS62" s="128">
        <v>0</v>
      </c>
      <c r="FT62" s="128"/>
      <c r="FU62" s="128"/>
      <c r="FV62" s="128"/>
      <c r="FW62" s="128"/>
      <c r="FX62" s="128">
        <v>0</v>
      </c>
      <c r="FY62" s="128">
        <v>0</v>
      </c>
      <c r="FZ62" s="128"/>
      <c r="GA62" s="128"/>
      <c r="GB62" s="128"/>
      <c r="GC62" s="128"/>
      <c r="GD62" s="128">
        <v>1</v>
      </c>
      <c r="GE62" s="128"/>
      <c r="GF62" s="128">
        <v>-1667439352</v>
      </c>
      <c r="GG62" s="128">
        <v>2</v>
      </c>
      <c r="GH62" s="128">
        <v>1</v>
      </c>
      <c r="GI62" s="128">
        <v>-2</v>
      </c>
      <c r="GJ62" s="128">
        <v>0</v>
      </c>
      <c r="GK62" s="128">
        <v>0</v>
      </c>
      <c r="GL62" s="128">
        <f t="shared" si="41"/>
        <v>0</v>
      </c>
      <c r="GM62" s="128">
        <f t="shared" si="42"/>
        <v>317</v>
      </c>
      <c r="GN62" s="128">
        <f t="shared" si="43"/>
        <v>317</v>
      </c>
      <c r="GO62" s="128">
        <f t="shared" si="44"/>
        <v>0</v>
      </c>
      <c r="GP62" s="128">
        <f t="shared" si="45"/>
        <v>0</v>
      </c>
      <c r="GQ62" s="128"/>
      <c r="GR62" s="128">
        <v>0</v>
      </c>
      <c r="GS62" s="128">
        <v>3</v>
      </c>
      <c r="GT62" s="128">
        <v>0</v>
      </c>
      <c r="GU62" s="128"/>
      <c r="GV62" s="128">
        <f t="shared" si="46"/>
        <v>0</v>
      </c>
      <c r="GW62" s="128">
        <v>1</v>
      </c>
      <c r="GX62" s="128">
        <f t="shared" si="47"/>
        <v>0</v>
      </c>
      <c r="GY62" s="128"/>
      <c r="GZ62" s="128"/>
      <c r="HA62" s="128">
        <v>0</v>
      </c>
      <c r="HB62" s="128">
        <v>0</v>
      </c>
      <c r="HC62" s="128">
        <f t="shared" si="48"/>
        <v>0</v>
      </c>
      <c r="HD62" s="128">
        <f>GM62</f>
        <v>317</v>
      </c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>
        <v>0</v>
      </c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</row>
    <row r="63" spans="1:255" x14ac:dyDescent="0.2">
      <c r="A63">
        <v>17</v>
      </c>
      <c r="B63">
        <v>1</v>
      </c>
      <c r="C63">
        <f>ROW(SmtRes!A118)</f>
        <v>118</v>
      </c>
      <c r="D63">
        <f>ROW(EtalonRes!A128)</f>
        <v>128</v>
      </c>
      <c r="E63" t="s">
        <v>141</v>
      </c>
      <c r="F63" t="s">
        <v>877</v>
      </c>
      <c r="G63" t="s">
        <v>878</v>
      </c>
      <c r="H63" t="s">
        <v>125</v>
      </c>
      <c r="I63">
        <f>ROUND(I61,9)</f>
        <v>12.53</v>
      </c>
      <c r="J63">
        <v>0</v>
      </c>
      <c r="O63">
        <f t="shared" si="14"/>
        <v>3442</v>
      </c>
      <c r="P63">
        <f t="shared" si="15"/>
        <v>0</v>
      </c>
      <c r="Q63">
        <f t="shared" si="16"/>
        <v>3442</v>
      </c>
      <c r="R63">
        <f t="shared" si="17"/>
        <v>1703</v>
      </c>
      <c r="S63">
        <f t="shared" si="18"/>
        <v>0</v>
      </c>
      <c r="T63">
        <f t="shared" si="19"/>
        <v>0</v>
      </c>
      <c r="U63">
        <f t="shared" si="20"/>
        <v>0</v>
      </c>
      <c r="V63">
        <f t="shared" si="21"/>
        <v>0</v>
      </c>
      <c r="W63">
        <f t="shared" si="22"/>
        <v>0</v>
      </c>
      <c r="X63">
        <f t="shared" si="23"/>
        <v>0</v>
      </c>
      <c r="Y63">
        <f t="shared" si="24"/>
        <v>0</v>
      </c>
      <c r="AA63">
        <v>51866571</v>
      </c>
      <c r="AB63">
        <f t="shared" si="25"/>
        <v>274.728635</v>
      </c>
      <c r="AC63">
        <f>ROUND((0),6)</f>
        <v>0</v>
      </c>
      <c r="AD63">
        <f>ROUND(((SUM(SmtRes!BR118:BR118))+ROUND(((SUM(SmtRes!BS118:BS118))*1.85),2)),6)</f>
        <v>274.728635</v>
      </c>
      <c r="AE63">
        <f>ROUND(((SUM(SmtRes!BS118:BS118))+ROUND(((SUM(SmtRes!BS118:BS118))*1.85),2)),6)</f>
        <v>135.95044999999999</v>
      </c>
      <c r="AF63">
        <f>ROUND(((0)+ROUND(((0)*1.85),2)),6)</f>
        <v>0</v>
      </c>
      <c r="AG63">
        <f t="shared" si="27"/>
        <v>0</v>
      </c>
      <c r="AH63">
        <f>(0)</f>
        <v>0</v>
      </c>
      <c r="AI63">
        <f>(0)</f>
        <v>0</v>
      </c>
      <c r="AJ63">
        <f t="shared" si="28"/>
        <v>0</v>
      </c>
      <c r="AK63">
        <v>186.478635</v>
      </c>
      <c r="AL63">
        <v>0</v>
      </c>
      <c r="AM63">
        <v>186.478635</v>
      </c>
      <c r="AN63">
        <v>47.700449999999996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1</v>
      </c>
      <c r="BH63">
        <v>0</v>
      </c>
      <c r="BI63">
        <v>1</v>
      </c>
      <c r="BJ63" t="s">
        <v>879</v>
      </c>
      <c r="BM63">
        <v>700001</v>
      </c>
      <c r="BN63">
        <v>0</v>
      </c>
      <c r="BP63">
        <v>0</v>
      </c>
      <c r="BQ63">
        <v>10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Z63">
        <v>0</v>
      </c>
      <c r="CA63">
        <v>0</v>
      </c>
      <c r="CE63">
        <v>0</v>
      </c>
      <c r="CF63">
        <v>0</v>
      </c>
      <c r="CG63">
        <v>0</v>
      </c>
      <c r="CM63">
        <v>0</v>
      </c>
      <c r="CO63">
        <v>0</v>
      </c>
      <c r="CP63">
        <f t="shared" si="29"/>
        <v>3442</v>
      </c>
      <c r="CQ63">
        <f t="shared" si="30"/>
        <v>0</v>
      </c>
      <c r="CR63">
        <f t="shared" si="31"/>
        <v>274.728635</v>
      </c>
      <c r="CS63">
        <f t="shared" si="32"/>
        <v>135.95044999999999</v>
      </c>
      <c r="CT63">
        <f t="shared" si="33"/>
        <v>0</v>
      </c>
      <c r="CU63">
        <f t="shared" si="34"/>
        <v>0</v>
      </c>
      <c r="CV63">
        <f t="shared" si="35"/>
        <v>0</v>
      </c>
      <c r="CW63">
        <f t="shared" si="36"/>
        <v>0</v>
      </c>
      <c r="CX63">
        <f t="shared" si="37"/>
        <v>0</v>
      </c>
      <c r="CY63">
        <f t="shared" si="38"/>
        <v>0</v>
      </c>
      <c r="CZ63">
        <f t="shared" si="39"/>
        <v>0</v>
      </c>
      <c r="DN63">
        <v>0</v>
      </c>
      <c r="DO63">
        <v>0</v>
      </c>
      <c r="DP63">
        <v>1</v>
      </c>
      <c r="DQ63">
        <v>1</v>
      </c>
      <c r="DU63">
        <v>1013</v>
      </c>
      <c r="DV63" t="s">
        <v>125</v>
      </c>
      <c r="DW63" t="s">
        <v>125</v>
      </c>
      <c r="DX63">
        <v>1</v>
      </c>
      <c r="EE63">
        <v>49587777</v>
      </c>
      <c r="EF63">
        <v>10</v>
      </c>
      <c r="EG63" t="s">
        <v>880</v>
      </c>
      <c r="EH63">
        <v>0</v>
      </c>
      <c r="EJ63">
        <v>1</v>
      </c>
      <c r="EK63">
        <v>700001</v>
      </c>
      <c r="EL63" t="s">
        <v>8</v>
      </c>
      <c r="EM63" t="s">
        <v>881</v>
      </c>
      <c r="EQ63">
        <v>0</v>
      </c>
      <c r="ER63">
        <v>186.48</v>
      </c>
      <c r="ES63">
        <v>0</v>
      </c>
      <c r="ET63">
        <v>186.48</v>
      </c>
      <c r="EU63">
        <v>0</v>
      </c>
      <c r="EV63">
        <v>0</v>
      </c>
      <c r="EW63">
        <v>0</v>
      </c>
      <c r="EX63">
        <v>0</v>
      </c>
      <c r="EY63">
        <v>0</v>
      </c>
      <c r="FQ63">
        <v>0</v>
      </c>
      <c r="FR63">
        <f t="shared" si="40"/>
        <v>0</v>
      </c>
      <c r="FS63">
        <v>0</v>
      </c>
      <c r="FX63">
        <v>0</v>
      </c>
      <c r="FY63">
        <v>0</v>
      </c>
      <c r="GD63">
        <v>1</v>
      </c>
      <c r="GF63">
        <v>-1667439352</v>
      </c>
      <c r="GG63">
        <v>2</v>
      </c>
      <c r="GH63">
        <v>1</v>
      </c>
      <c r="GI63">
        <v>-2</v>
      </c>
      <c r="GJ63">
        <v>0</v>
      </c>
      <c r="GK63">
        <v>0</v>
      </c>
      <c r="GL63">
        <f t="shared" si="41"/>
        <v>0</v>
      </c>
      <c r="GM63">
        <f t="shared" si="42"/>
        <v>3442</v>
      </c>
      <c r="GN63">
        <f t="shared" si="43"/>
        <v>3442</v>
      </c>
      <c r="GO63">
        <f t="shared" si="44"/>
        <v>0</v>
      </c>
      <c r="GP63">
        <f t="shared" si="45"/>
        <v>0</v>
      </c>
      <c r="GR63">
        <v>0</v>
      </c>
      <c r="GS63">
        <v>3</v>
      </c>
      <c r="GT63">
        <v>0</v>
      </c>
      <c r="GV63">
        <f t="shared" si="46"/>
        <v>0</v>
      </c>
      <c r="GW63">
        <v>1</v>
      </c>
      <c r="GX63">
        <f t="shared" si="47"/>
        <v>0</v>
      </c>
      <c r="HA63">
        <v>0</v>
      </c>
      <c r="HB63">
        <v>0</v>
      </c>
      <c r="HC63">
        <f t="shared" si="48"/>
        <v>0</v>
      </c>
      <c r="HD63">
        <f>GM63</f>
        <v>3442</v>
      </c>
      <c r="IK63">
        <v>0</v>
      </c>
    </row>
    <row r="65" spans="1:206" x14ac:dyDescent="0.2">
      <c r="A65" s="126">
        <v>51</v>
      </c>
      <c r="B65" s="126">
        <f>B20</f>
        <v>1</v>
      </c>
      <c r="C65" s="126">
        <f>A20</f>
        <v>3</v>
      </c>
      <c r="D65" s="126">
        <f>ROW(A20)</f>
        <v>20</v>
      </c>
      <c r="E65" s="126"/>
      <c r="F65" s="126" t="str">
        <f>IF(F20&lt;&gt;"",F20,"")</f>
        <v>02-01-01</v>
      </c>
      <c r="G65" s="126" t="str">
        <f>IF(G20&lt;&gt;"",G20,"")</f>
        <v>Замена оконных блоков</v>
      </c>
      <c r="H65" s="126">
        <v>0</v>
      </c>
      <c r="I65" s="126"/>
      <c r="J65" s="126"/>
      <c r="K65" s="126"/>
      <c r="L65" s="126"/>
      <c r="M65" s="126"/>
      <c r="N65" s="126"/>
      <c r="O65" s="126">
        <f t="shared" ref="O65:T65" si="55">ROUND(AB65,0)</f>
        <v>470688</v>
      </c>
      <c r="P65" s="126">
        <f t="shared" si="55"/>
        <v>400889</v>
      </c>
      <c r="Q65" s="126">
        <f t="shared" si="55"/>
        <v>8101</v>
      </c>
      <c r="R65" s="126">
        <f t="shared" si="55"/>
        <v>353</v>
      </c>
      <c r="S65" s="126">
        <f t="shared" si="55"/>
        <v>61698</v>
      </c>
      <c r="T65" s="126">
        <f t="shared" si="55"/>
        <v>0</v>
      </c>
      <c r="U65" s="126">
        <f>AH65</f>
        <v>605.78742554999985</v>
      </c>
      <c r="V65" s="126">
        <f>AI65</f>
        <v>3.7164324999999998</v>
      </c>
      <c r="W65" s="126">
        <f>ROUND(AJ65,0)</f>
        <v>0</v>
      </c>
      <c r="X65" s="126">
        <f>ROUND(AK65,0)</f>
        <v>60110</v>
      </c>
      <c r="Y65" s="126">
        <f>ROUND(AL65,0)</f>
        <v>30563</v>
      </c>
      <c r="Z65" s="126"/>
      <c r="AA65" s="126"/>
      <c r="AB65" s="126">
        <f>ROUND(SUMIF(AA24:AA63,"=51866573",O24:O63),0)</f>
        <v>470688</v>
      </c>
      <c r="AC65" s="126">
        <f>ROUND(SUMIF(AA24:AA63,"=51866573",P24:P63),0)</f>
        <v>400889</v>
      </c>
      <c r="AD65" s="126">
        <f>ROUND(SUMIF(AA24:AA63,"=51866573",Q24:Q63),0)</f>
        <v>8101</v>
      </c>
      <c r="AE65" s="126">
        <f>ROUND(SUMIF(AA24:AA63,"=51866573",R24:R63),0)</f>
        <v>353</v>
      </c>
      <c r="AF65" s="126">
        <f>ROUND(SUMIF(AA24:AA63,"=51866573",S24:S63),0)</f>
        <v>61698</v>
      </c>
      <c r="AG65" s="126">
        <f>ROUND(SUMIF(AA24:AA63,"=51866573",T24:T63),0)</f>
        <v>0</v>
      </c>
      <c r="AH65" s="126">
        <f>SUMIF(AA24:AA63,"=51866573",U24:U63)</f>
        <v>605.78742554999985</v>
      </c>
      <c r="AI65" s="126">
        <f>SUMIF(AA24:AA63,"=51866573",V24:V63)</f>
        <v>3.7164324999999998</v>
      </c>
      <c r="AJ65" s="126">
        <f>ROUND(SUMIF(AA24:AA63,"=51866573",W24:W63),0)</f>
        <v>0</v>
      </c>
      <c r="AK65" s="126">
        <f>ROUND(SUMIF(AA24:AA63,"=51866573",X24:X63),0)</f>
        <v>60110</v>
      </c>
      <c r="AL65" s="126">
        <f>ROUND(SUMIF(AA24:AA63,"=51866573",Y24:Y63),0)</f>
        <v>30563</v>
      </c>
      <c r="AM65" s="126"/>
      <c r="AN65" s="126"/>
      <c r="AO65" s="126">
        <f t="shared" ref="AO65:BD65" si="56">ROUND(BX65,0)</f>
        <v>0</v>
      </c>
      <c r="AP65" s="126">
        <f t="shared" si="56"/>
        <v>0</v>
      </c>
      <c r="AQ65" s="126">
        <f t="shared" si="56"/>
        <v>0</v>
      </c>
      <c r="AR65" s="126">
        <f t="shared" si="56"/>
        <v>561361</v>
      </c>
      <c r="AS65" s="126">
        <f t="shared" si="56"/>
        <v>561361</v>
      </c>
      <c r="AT65" s="126">
        <f t="shared" si="56"/>
        <v>0</v>
      </c>
      <c r="AU65" s="126">
        <f t="shared" si="56"/>
        <v>0</v>
      </c>
      <c r="AV65" s="126">
        <f t="shared" si="56"/>
        <v>400889</v>
      </c>
      <c r="AW65" s="126">
        <f t="shared" si="56"/>
        <v>400889</v>
      </c>
      <c r="AX65" s="126">
        <f t="shared" si="56"/>
        <v>0</v>
      </c>
      <c r="AY65" s="126">
        <f t="shared" si="56"/>
        <v>400889</v>
      </c>
      <c r="AZ65" s="126">
        <f t="shared" si="56"/>
        <v>0</v>
      </c>
      <c r="BA65" s="126">
        <f t="shared" si="56"/>
        <v>0</v>
      </c>
      <c r="BB65" s="126">
        <f t="shared" si="56"/>
        <v>0</v>
      </c>
      <c r="BC65" s="126">
        <f t="shared" si="56"/>
        <v>0</v>
      </c>
      <c r="BD65" s="126">
        <f t="shared" si="56"/>
        <v>5548</v>
      </c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>
        <f>ROUND(SUMIF(AA24:AA63,"=51866573",FQ24:FQ63),0)</f>
        <v>0</v>
      </c>
      <c r="BY65" s="126">
        <f>ROUND(SUMIF(AA24:AA63,"=51866573",FR24:FR63),0)</f>
        <v>0</v>
      </c>
      <c r="BZ65" s="126">
        <f>ROUND(SUMIF(AA24:AA63,"=51866573",GL24:GL63),0)</f>
        <v>0</v>
      </c>
      <c r="CA65" s="126">
        <f>ROUND(SUMIF(AA24:AA63,"=51866573",GM24:GM63),0)</f>
        <v>561361</v>
      </c>
      <c r="CB65" s="126">
        <f>ROUND(SUMIF(AA24:AA63,"=51866573",GN24:GN63),0)</f>
        <v>561361</v>
      </c>
      <c r="CC65" s="126">
        <f>ROUND(SUMIF(AA24:AA63,"=51866573",GO24:GO63),0)</f>
        <v>0</v>
      </c>
      <c r="CD65" s="126">
        <f>ROUND(SUMIF(AA24:AA63,"=51866573",GP24:GP63),0)</f>
        <v>0</v>
      </c>
      <c r="CE65" s="126">
        <f>AC65-BX65</f>
        <v>400889</v>
      </c>
      <c r="CF65" s="126">
        <f>AC65-BY65</f>
        <v>400889</v>
      </c>
      <c r="CG65" s="126">
        <f>BX65-BZ65</f>
        <v>0</v>
      </c>
      <c r="CH65" s="126">
        <f>AC65-BX65-BY65+BZ65</f>
        <v>400889</v>
      </c>
      <c r="CI65" s="126">
        <f>BY65-BZ65</f>
        <v>0</v>
      </c>
      <c r="CJ65" s="126">
        <f>ROUND(SUMIF(AA24:AA63,"=51866573",GX24:GX63),0)</f>
        <v>0</v>
      </c>
      <c r="CK65" s="126">
        <f>ROUND(SUMIF(AA24:AA63,"=51866573",GY24:GY63),0)</f>
        <v>0</v>
      </c>
      <c r="CL65" s="126">
        <f>ROUND(SUMIF(AA24:AA63,"=51866573",GZ24:GZ63),0)</f>
        <v>0</v>
      </c>
      <c r="CM65" s="126">
        <f>ROUND(SUMIF(AA24:AA63,"=51866573",HD24:HD63),0)</f>
        <v>5548</v>
      </c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7">
        <f t="shared" ref="DG65:DL65" si="57">ROUND(DT65,0)</f>
        <v>571339</v>
      </c>
      <c r="DH65" s="127">
        <f t="shared" si="57"/>
        <v>461934</v>
      </c>
      <c r="DI65" s="127">
        <f t="shared" si="57"/>
        <v>12201</v>
      </c>
      <c r="DJ65" s="127">
        <f t="shared" si="57"/>
        <v>2556</v>
      </c>
      <c r="DK65" s="127">
        <f t="shared" si="57"/>
        <v>97204</v>
      </c>
      <c r="DL65" s="127">
        <f t="shared" si="57"/>
        <v>0</v>
      </c>
      <c r="DM65" s="127">
        <f>DZ65</f>
        <v>605.78742554999985</v>
      </c>
      <c r="DN65" s="127">
        <f>EA65</f>
        <v>3.7164324999999998</v>
      </c>
      <c r="DO65" s="127">
        <f>ROUND(EB65,0)</f>
        <v>0</v>
      </c>
      <c r="DP65" s="127">
        <f>ROUND(EC65,0)</f>
        <v>91605</v>
      </c>
      <c r="DQ65" s="127">
        <f>ROUND(ED65,0)</f>
        <v>52087</v>
      </c>
      <c r="DR65" s="127"/>
      <c r="DS65" s="127"/>
      <c r="DT65" s="127">
        <f>ROUND(SUMIF(AA24:AA63,"=51866571",O24:O63),0)</f>
        <v>571339</v>
      </c>
      <c r="DU65" s="127">
        <f>ROUND(SUMIF(AA24:AA63,"=51866571",P24:P63),0)</f>
        <v>461934</v>
      </c>
      <c r="DV65" s="127">
        <f>ROUND(SUMIF(AA24:AA63,"=51866571",Q24:Q63),0)</f>
        <v>12201</v>
      </c>
      <c r="DW65" s="127">
        <f>ROUND(SUMIF(AA24:AA63,"=51866571",R24:R63),0)</f>
        <v>2556</v>
      </c>
      <c r="DX65" s="127">
        <f>ROUND(SUMIF(AA24:AA63,"=51866571",S24:S63),0)</f>
        <v>97204</v>
      </c>
      <c r="DY65" s="127">
        <f>ROUND(SUMIF(AA24:AA63,"=51866571",T24:T63),0)</f>
        <v>0</v>
      </c>
      <c r="DZ65" s="127">
        <f>SUMIF(AA24:AA63,"=51866571",U24:U63)</f>
        <v>605.78742554999985</v>
      </c>
      <c r="EA65" s="127">
        <f>SUMIF(AA24:AA63,"=51866571",V24:V63)</f>
        <v>3.7164324999999998</v>
      </c>
      <c r="EB65" s="127">
        <f>ROUND(SUMIF(AA24:AA63,"=51866571",W24:W63),0)</f>
        <v>0</v>
      </c>
      <c r="EC65" s="127">
        <f>ROUND(SUMIF(AA24:AA63,"=51866571",X24:X63),0)</f>
        <v>91605</v>
      </c>
      <c r="ED65" s="127">
        <f>ROUND(SUMIF(AA24:AA63,"=51866571",Y24:Y63),0)</f>
        <v>52087</v>
      </c>
      <c r="EE65" s="127"/>
      <c r="EF65" s="127"/>
      <c r="EG65" s="127">
        <f t="shared" ref="EG65:EV65" si="58">ROUND(FP65,0)</f>
        <v>0</v>
      </c>
      <c r="EH65" s="127">
        <f t="shared" si="58"/>
        <v>0</v>
      </c>
      <c r="EI65" s="127">
        <f t="shared" si="58"/>
        <v>0</v>
      </c>
      <c r="EJ65" s="127">
        <f t="shared" si="58"/>
        <v>715031</v>
      </c>
      <c r="EK65" s="127">
        <f t="shared" si="58"/>
        <v>715031</v>
      </c>
      <c r="EL65" s="127">
        <f t="shared" si="58"/>
        <v>0</v>
      </c>
      <c r="EM65" s="127">
        <f t="shared" si="58"/>
        <v>0</v>
      </c>
      <c r="EN65" s="127">
        <f t="shared" si="58"/>
        <v>461934</v>
      </c>
      <c r="EO65" s="127">
        <f t="shared" si="58"/>
        <v>461934</v>
      </c>
      <c r="EP65" s="127">
        <f t="shared" si="58"/>
        <v>0</v>
      </c>
      <c r="EQ65" s="127">
        <f t="shared" si="58"/>
        <v>461934</v>
      </c>
      <c r="ER65" s="127">
        <f t="shared" si="58"/>
        <v>0</v>
      </c>
      <c r="ES65" s="127">
        <f t="shared" si="58"/>
        <v>0</v>
      </c>
      <c r="ET65" s="127">
        <f t="shared" si="58"/>
        <v>0</v>
      </c>
      <c r="EU65" s="127">
        <f t="shared" si="58"/>
        <v>0</v>
      </c>
      <c r="EV65" s="127">
        <f t="shared" si="58"/>
        <v>8793</v>
      </c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>
        <f>ROUND(SUMIF(AA24:AA63,"=51866571",FQ24:FQ63),0)</f>
        <v>0</v>
      </c>
      <c r="FQ65" s="127">
        <f>ROUND(SUMIF(AA24:AA63,"=51866571",FR24:FR63),0)</f>
        <v>0</v>
      </c>
      <c r="FR65" s="127">
        <f>ROUND(SUMIF(AA24:AA63,"=51866571",GL24:GL63),0)</f>
        <v>0</v>
      </c>
      <c r="FS65" s="127">
        <f>ROUND(SUMIF(AA24:AA63,"=51866571",GM24:GM63),0)</f>
        <v>715031</v>
      </c>
      <c r="FT65" s="127">
        <f>ROUND(SUMIF(AA24:AA63,"=51866571",GN24:GN63),0)</f>
        <v>715031</v>
      </c>
      <c r="FU65" s="127">
        <f>ROUND(SUMIF(AA24:AA63,"=51866571",GO24:GO63),0)</f>
        <v>0</v>
      </c>
      <c r="FV65" s="127">
        <f>ROUND(SUMIF(AA24:AA63,"=51866571",GP24:GP63),0)</f>
        <v>0</v>
      </c>
      <c r="FW65" s="127">
        <f>DU65-FP65</f>
        <v>461934</v>
      </c>
      <c r="FX65" s="127">
        <f>DU65-FQ65</f>
        <v>461934</v>
      </c>
      <c r="FY65" s="127">
        <f>FP65-FR65</f>
        <v>0</v>
      </c>
      <c r="FZ65" s="127">
        <f>DU65-FP65-FQ65+FR65</f>
        <v>461934</v>
      </c>
      <c r="GA65" s="127">
        <f>FQ65-FR65</f>
        <v>0</v>
      </c>
      <c r="GB65" s="127">
        <f>ROUND(SUMIF(AA24:AA63,"=51866571",GX24:GX63),0)</f>
        <v>0</v>
      </c>
      <c r="GC65" s="127">
        <f>ROUND(SUMIF(AA24:AA63,"=51866571",GY24:GY63),0)</f>
        <v>0</v>
      </c>
      <c r="GD65" s="127">
        <f>ROUND(SUMIF(AA24:AA63,"=51866571",GZ24:GZ63),0)</f>
        <v>0</v>
      </c>
      <c r="GE65" s="127">
        <f>ROUND(SUMIF(AA24:AA63,"=51866571",HD24:HD63),0)</f>
        <v>8793</v>
      </c>
      <c r="GF65" s="127"/>
      <c r="GG65" s="127"/>
      <c r="GH65" s="127"/>
      <c r="GI65" s="127"/>
      <c r="GJ65" s="127"/>
      <c r="GK65" s="127"/>
      <c r="GL65" s="127"/>
      <c r="GM65" s="127"/>
      <c r="GN65" s="127"/>
      <c r="GO65" s="127"/>
      <c r="GP65" s="127"/>
      <c r="GQ65" s="127"/>
      <c r="GR65" s="127"/>
      <c r="GS65" s="127"/>
      <c r="GT65" s="127"/>
      <c r="GU65" s="127"/>
      <c r="GV65" s="127"/>
      <c r="GW65" s="127"/>
      <c r="GX65" s="127">
        <v>0</v>
      </c>
    </row>
    <row r="67" spans="1:206" x14ac:dyDescent="0.2">
      <c r="A67" s="129">
        <v>50</v>
      </c>
      <c r="B67" s="129">
        <v>0</v>
      </c>
      <c r="C67" s="129">
        <v>0</v>
      </c>
      <c r="D67" s="129">
        <v>1</v>
      </c>
      <c r="E67" s="129">
        <v>201</v>
      </c>
      <c r="F67" s="129">
        <f>ROUND(Source!O65,O67)</f>
        <v>470688</v>
      </c>
      <c r="G67" s="129" t="s">
        <v>882</v>
      </c>
      <c r="H67" s="129" t="s">
        <v>883</v>
      </c>
      <c r="I67" s="129"/>
      <c r="J67" s="129"/>
      <c r="K67" s="129">
        <v>201</v>
      </c>
      <c r="L67" s="129">
        <v>1</v>
      </c>
      <c r="M67" s="129">
        <v>3</v>
      </c>
      <c r="N67" s="129"/>
      <c r="O67" s="129">
        <v>0</v>
      </c>
      <c r="P67" s="129">
        <f>ROUND(Source!DG65,O67)</f>
        <v>571339</v>
      </c>
      <c r="Q67" s="129"/>
      <c r="R67" s="129"/>
      <c r="S67" s="129"/>
      <c r="T67" s="129"/>
      <c r="U67" s="129"/>
      <c r="V67" s="129"/>
      <c r="W67" s="129"/>
    </row>
    <row r="68" spans="1:206" x14ac:dyDescent="0.2">
      <c r="A68" s="129">
        <v>50</v>
      </c>
      <c r="B68" s="129">
        <v>0</v>
      </c>
      <c r="C68" s="129">
        <v>0</v>
      </c>
      <c r="D68" s="129">
        <v>1</v>
      </c>
      <c r="E68" s="129">
        <v>0</v>
      </c>
      <c r="F68" s="129">
        <f>ROUND(Source!P65,O68)</f>
        <v>400889</v>
      </c>
      <c r="G68" s="129" t="s">
        <v>884</v>
      </c>
      <c r="H68" s="129" t="s">
        <v>885</v>
      </c>
      <c r="I68" s="129"/>
      <c r="J68" s="129"/>
      <c r="K68" s="129">
        <v>202</v>
      </c>
      <c r="L68" s="129">
        <v>2</v>
      </c>
      <c r="M68" s="129">
        <v>3</v>
      </c>
      <c r="N68" s="129"/>
      <c r="O68" s="129">
        <v>0</v>
      </c>
      <c r="P68" s="129">
        <f>ROUND(Source!DH65,O68)</f>
        <v>461934</v>
      </c>
      <c r="Q68" s="129"/>
      <c r="R68" s="129"/>
      <c r="S68" s="129"/>
      <c r="T68" s="129"/>
      <c r="U68" s="129"/>
      <c r="V68" s="129"/>
      <c r="W68" s="129"/>
    </row>
    <row r="69" spans="1:206" x14ac:dyDescent="0.2">
      <c r="A69" s="129">
        <v>50</v>
      </c>
      <c r="B69" s="129">
        <v>0</v>
      </c>
      <c r="C69" s="129">
        <v>0</v>
      </c>
      <c r="D69" s="129">
        <v>1</v>
      </c>
      <c r="E69" s="129">
        <v>222</v>
      </c>
      <c r="F69" s="129">
        <f>ROUND(Source!AO65,O69)</f>
        <v>0</v>
      </c>
      <c r="G69" s="129" t="s">
        <v>886</v>
      </c>
      <c r="H69" s="129" t="s">
        <v>887</v>
      </c>
      <c r="I69" s="129"/>
      <c r="J69" s="129"/>
      <c r="K69" s="129">
        <v>222</v>
      </c>
      <c r="L69" s="129">
        <v>3</v>
      </c>
      <c r="M69" s="129">
        <v>3</v>
      </c>
      <c r="N69" s="129"/>
      <c r="O69" s="129">
        <v>0</v>
      </c>
      <c r="P69" s="129">
        <f>ROUND(Source!EG65,O69)</f>
        <v>0</v>
      </c>
      <c r="Q69" s="129"/>
      <c r="R69" s="129"/>
      <c r="S69" s="129"/>
      <c r="T69" s="129"/>
      <c r="U69" s="129"/>
      <c r="V69" s="129"/>
      <c r="W69" s="129"/>
    </row>
    <row r="70" spans="1:206" x14ac:dyDescent="0.2">
      <c r="A70" s="129">
        <v>50</v>
      </c>
      <c r="B70" s="129">
        <v>0</v>
      </c>
      <c r="C70" s="129">
        <v>0</v>
      </c>
      <c r="D70" s="129">
        <v>1</v>
      </c>
      <c r="E70" s="129">
        <v>225</v>
      </c>
      <c r="F70" s="129">
        <f>ROUND(Source!AV65,O70)</f>
        <v>400889</v>
      </c>
      <c r="G70" s="129" t="s">
        <v>888</v>
      </c>
      <c r="H70" s="129" t="s">
        <v>889</v>
      </c>
      <c r="I70" s="129"/>
      <c r="J70" s="129"/>
      <c r="K70" s="129">
        <v>225</v>
      </c>
      <c r="L70" s="129">
        <v>4</v>
      </c>
      <c r="M70" s="129">
        <v>3</v>
      </c>
      <c r="N70" s="129"/>
      <c r="O70" s="129">
        <v>0</v>
      </c>
      <c r="P70" s="129">
        <f>ROUND(Source!EN65,O70)</f>
        <v>461934</v>
      </c>
      <c r="Q70" s="129"/>
      <c r="R70" s="129"/>
      <c r="S70" s="129"/>
      <c r="T70" s="129"/>
      <c r="U70" s="129"/>
      <c r="V70" s="129"/>
      <c r="W70" s="129"/>
    </row>
    <row r="71" spans="1:206" x14ac:dyDescent="0.2">
      <c r="A71" s="129">
        <v>50</v>
      </c>
      <c r="B71" s="129">
        <v>0</v>
      </c>
      <c r="C71" s="129">
        <v>0</v>
      </c>
      <c r="D71" s="129">
        <v>1</v>
      </c>
      <c r="E71" s="129">
        <v>226</v>
      </c>
      <c r="F71" s="129">
        <f>ROUND(Source!AW65,O71)</f>
        <v>400889</v>
      </c>
      <c r="G71" s="129" t="s">
        <v>890</v>
      </c>
      <c r="H71" s="129" t="s">
        <v>891</v>
      </c>
      <c r="I71" s="129"/>
      <c r="J71" s="129"/>
      <c r="K71" s="129">
        <v>226</v>
      </c>
      <c r="L71" s="129">
        <v>5</v>
      </c>
      <c r="M71" s="129">
        <v>3</v>
      </c>
      <c r="N71" s="129"/>
      <c r="O71" s="129">
        <v>0</v>
      </c>
      <c r="P71" s="129">
        <f>ROUND(Source!EO65,O71)</f>
        <v>461934</v>
      </c>
      <c r="Q71" s="129"/>
      <c r="R71" s="129"/>
      <c r="S71" s="129"/>
      <c r="T71" s="129"/>
      <c r="U71" s="129"/>
      <c r="V71" s="129"/>
      <c r="W71" s="129"/>
    </row>
    <row r="72" spans="1:206" x14ac:dyDescent="0.2">
      <c r="A72" s="129">
        <v>50</v>
      </c>
      <c r="B72" s="129">
        <v>0</v>
      </c>
      <c r="C72" s="129">
        <v>0</v>
      </c>
      <c r="D72" s="129">
        <v>1</v>
      </c>
      <c r="E72" s="129">
        <v>227</v>
      </c>
      <c r="F72" s="129">
        <f>ROUND(Source!AX65,O72)</f>
        <v>0</v>
      </c>
      <c r="G72" s="129" t="s">
        <v>892</v>
      </c>
      <c r="H72" s="129" t="s">
        <v>893</v>
      </c>
      <c r="I72" s="129"/>
      <c r="J72" s="129"/>
      <c r="K72" s="129">
        <v>227</v>
      </c>
      <c r="L72" s="129">
        <v>6</v>
      </c>
      <c r="M72" s="129">
        <v>3</v>
      </c>
      <c r="N72" s="129"/>
      <c r="O72" s="129">
        <v>0</v>
      </c>
      <c r="P72" s="129">
        <f>ROUND(Source!EP65,O72)</f>
        <v>0</v>
      </c>
      <c r="Q72" s="129"/>
      <c r="R72" s="129"/>
      <c r="S72" s="129"/>
      <c r="T72" s="129"/>
      <c r="U72" s="129"/>
      <c r="V72" s="129"/>
      <c r="W72" s="129"/>
    </row>
    <row r="73" spans="1:206" x14ac:dyDescent="0.2">
      <c r="A73" s="129">
        <v>50</v>
      </c>
      <c r="B73" s="129">
        <v>0</v>
      </c>
      <c r="C73" s="129">
        <v>0</v>
      </c>
      <c r="D73" s="129">
        <v>1</v>
      </c>
      <c r="E73" s="129">
        <v>228</v>
      </c>
      <c r="F73" s="129">
        <f>ROUND(Source!AY65,O73)</f>
        <v>400889</v>
      </c>
      <c r="G73" s="129" t="s">
        <v>894</v>
      </c>
      <c r="H73" s="129" t="s">
        <v>895</v>
      </c>
      <c r="I73" s="129"/>
      <c r="J73" s="129"/>
      <c r="K73" s="129">
        <v>228</v>
      </c>
      <c r="L73" s="129">
        <v>7</v>
      </c>
      <c r="M73" s="129">
        <v>3</v>
      </c>
      <c r="N73" s="129"/>
      <c r="O73" s="129">
        <v>0</v>
      </c>
      <c r="P73" s="129">
        <f>ROUND(Source!EQ65,O73)</f>
        <v>461934</v>
      </c>
      <c r="Q73" s="129"/>
      <c r="R73" s="129"/>
      <c r="S73" s="129"/>
      <c r="T73" s="129"/>
      <c r="U73" s="129"/>
      <c r="V73" s="129"/>
      <c r="W73" s="129"/>
    </row>
    <row r="74" spans="1:206" x14ac:dyDescent="0.2">
      <c r="A74" s="129">
        <v>50</v>
      </c>
      <c r="B74" s="129">
        <v>0</v>
      </c>
      <c r="C74" s="129">
        <v>0</v>
      </c>
      <c r="D74" s="129">
        <v>1</v>
      </c>
      <c r="E74" s="129">
        <v>216</v>
      </c>
      <c r="F74" s="129">
        <f>ROUND(Source!AP65,O74)</f>
        <v>0</v>
      </c>
      <c r="G74" s="129" t="s">
        <v>896</v>
      </c>
      <c r="H74" s="129" t="s">
        <v>897</v>
      </c>
      <c r="I74" s="129"/>
      <c r="J74" s="129"/>
      <c r="K74" s="129">
        <v>216</v>
      </c>
      <c r="L74" s="129">
        <v>8</v>
      </c>
      <c r="M74" s="129">
        <v>3</v>
      </c>
      <c r="N74" s="129"/>
      <c r="O74" s="129">
        <v>0</v>
      </c>
      <c r="P74" s="129">
        <f>ROUND(Source!EH65,O74)</f>
        <v>0</v>
      </c>
      <c r="Q74" s="129"/>
      <c r="R74" s="129"/>
      <c r="S74" s="129"/>
      <c r="T74" s="129"/>
      <c r="U74" s="129"/>
      <c r="V74" s="129"/>
      <c r="W74" s="129"/>
    </row>
    <row r="75" spans="1:206" x14ac:dyDescent="0.2">
      <c r="A75" s="129">
        <v>50</v>
      </c>
      <c r="B75" s="129">
        <v>0</v>
      </c>
      <c r="C75" s="129">
        <v>0</v>
      </c>
      <c r="D75" s="129">
        <v>1</v>
      </c>
      <c r="E75" s="129">
        <v>223</v>
      </c>
      <c r="F75" s="129">
        <f>ROUND(Source!AQ65,O75)</f>
        <v>0</v>
      </c>
      <c r="G75" s="129" t="s">
        <v>898</v>
      </c>
      <c r="H75" s="129" t="s">
        <v>899</v>
      </c>
      <c r="I75" s="129"/>
      <c r="J75" s="129"/>
      <c r="K75" s="129">
        <v>223</v>
      </c>
      <c r="L75" s="129">
        <v>9</v>
      </c>
      <c r="M75" s="129">
        <v>3</v>
      </c>
      <c r="N75" s="129"/>
      <c r="O75" s="129">
        <v>0</v>
      </c>
      <c r="P75" s="129">
        <f>ROUND(Source!EI65,O75)</f>
        <v>0</v>
      </c>
      <c r="Q75" s="129"/>
      <c r="R75" s="129"/>
      <c r="S75" s="129"/>
      <c r="T75" s="129"/>
      <c r="U75" s="129"/>
      <c r="V75" s="129"/>
      <c r="W75" s="129"/>
    </row>
    <row r="76" spans="1:206" x14ac:dyDescent="0.2">
      <c r="A76" s="129">
        <v>50</v>
      </c>
      <c r="B76" s="129">
        <v>0</v>
      </c>
      <c r="C76" s="129">
        <v>0</v>
      </c>
      <c r="D76" s="129">
        <v>1</v>
      </c>
      <c r="E76" s="129">
        <v>229</v>
      </c>
      <c r="F76" s="129">
        <f>ROUND(Source!AZ65,O76)</f>
        <v>0</v>
      </c>
      <c r="G76" s="129" t="s">
        <v>900</v>
      </c>
      <c r="H76" s="129" t="s">
        <v>901</v>
      </c>
      <c r="I76" s="129"/>
      <c r="J76" s="129"/>
      <c r="K76" s="129">
        <v>229</v>
      </c>
      <c r="L76" s="129">
        <v>10</v>
      </c>
      <c r="M76" s="129">
        <v>3</v>
      </c>
      <c r="N76" s="129"/>
      <c r="O76" s="129">
        <v>0</v>
      </c>
      <c r="P76" s="129">
        <f>ROUND(Source!ER65,O76)</f>
        <v>0</v>
      </c>
      <c r="Q76" s="129"/>
      <c r="R76" s="129"/>
      <c r="S76" s="129"/>
      <c r="T76" s="129"/>
      <c r="U76" s="129"/>
      <c r="V76" s="129"/>
      <c r="W76" s="129"/>
    </row>
    <row r="77" spans="1:206" x14ac:dyDescent="0.2">
      <c r="A77" s="129">
        <v>50</v>
      </c>
      <c r="B77" s="129">
        <v>0</v>
      </c>
      <c r="C77" s="129">
        <v>0</v>
      </c>
      <c r="D77" s="129">
        <v>1</v>
      </c>
      <c r="E77" s="129">
        <v>0</v>
      </c>
      <c r="F77" s="129">
        <f>ROUND(Source!Q65,O77)</f>
        <v>8101</v>
      </c>
      <c r="G77" s="129" t="s">
        <v>902</v>
      </c>
      <c r="H77" s="129" t="s">
        <v>903</v>
      </c>
      <c r="I77" s="129"/>
      <c r="J77" s="129"/>
      <c r="K77" s="129">
        <v>203</v>
      </c>
      <c r="L77" s="129">
        <v>11</v>
      </c>
      <c r="M77" s="129">
        <v>3</v>
      </c>
      <c r="N77" s="129"/>
      <c r="O77" s="129">
        <v>0</v>
      </c>
      <c r="P77" s="129">
        <f>ROUND(Source!DI65,O77)</f>
        <v>12201</v>
      </c>
      <c r="Q77" s="129"/>
      <c r="R77" s="129"/>
      <c r="S77" s="129"/>
      <c r="T77" s="129"/>
      <c r="U77" s="129"/>
      <c r="V77" s="129"/>
      <c r="W77" s="129"/>
    </row>
    <row r="78" spans="1:206" x14ac:dyDescent="0.2">
      <c r="A78" s="129">
        <v>50</v>
      </c>
      <c r="B78" s="129">
        <v>0</v>
      </c>
      <c r="C78" s="129">
        <v>0</v>
      </c>
      <c r="D78" s="129">
        <v>1</v>
      </c>
      <c r="E78" s="129">
        <v>231</v>
      </c>
      <c r="F78" s="129">
        <f>ROUND(Source!BB65,O78)</f>
        <v>0</v>
      </c>
      <c r="G78" s="129" t="s">
        <v>904</v>
      </c>
      <c r="H78" s="129" t="s">
        <v>905</v>
      </c>
      <c r="I78" s="129"/>
      <c r="J78" s="129"/>
      <c r="K78" s="129">
        <v>231</v>
      </c>
      <c r="L78" s="129">
        <v>12</v>
      </c>
      <c r="M78" s="129">
        <v>3</v>
      </c>
      <c r="N78" s="129"/>
      <c r="O78" s="129">
        <v>0</v>
      </c>
      <c r="P78" s="129">
        <f>ROUND(Source!ET65,O78)</f>
        <v>0</v>
      </c>
      <c r="Q78" s="129"/>
      <c r="R78" s="129"/>
      <c r="S78" s="129"/>
      <c r="T78" s="129"/>
      <c r="U78" s="129"/>
      <c r="V78" s="129"/>
      <c r="W78" s="129"/>
    </row>
    <row r="79" spans="1:206" x14ac:dyDescent="0.2">
      <c r="A79" s="129">
        <v>50</v>
      </c>
      <c r="B79" s="129">
        <v>0</v>
      </c>
      <c r="C79" s="129">
        <v>0</v>
      </c>
      <c r="D79" s="129">
        <v>1</v>
      </c>
      <c r="E79" s="129">
        <v>204</v>
      </c>
      <c r="F79" s="129">
        <f>ROUND(Source!R65,O79)</f>
        <v>353</v>
      </c>
      <c r="G79" s="129" t="s">
        <v>906</v>
      </c>
      <c r="H79" s="129" t="s">
        <v>907</v>
      </c>
      <c r="I79" s="129"/>
      <c r="J79" s="129"/>
      <c r="K79" s="129">
        <v>204</v>
      </c>
      <c r="L79" s="129">
        <v>13</v>
      </c>
      <c r="M79" s="129">
        <v>3</v>
      </c>
      <c r="N79" s="129"/>
      <c r="O79" s="129">
        <v>0</v>
      </c>
      <c r="P79" s="129">
        <f>ROUND(Source!DJ65,O79)</f>
        <v>2556</v>
      </c>
      <c r="Q79" s="129"/>
      <c r="R79" s="129"/>
      <c r="S79" s="129"/>
      <c r="T79" s="129"/>
      <c r="U79" s="129"/>
      <c r="V79" s="129"/>
      <c r="W79" s="129"/>
    </row>
    <row r="80" spans="1:206" x14ac:dyDescent="0.2">
      <c r="A80" s="129">
        <v>50</v>
      </c>
      <c r="B80" s="129">
        <v>0</v>
      </c>
      <c r="C80" s="129">
        <v>0</v>
      </c>
      <c r="D80" s="129">
        <v>1</v>
      </c>
      <c r="E80" s="129">
        <v>0</v>
      </c>
      <c r="F80" s="129">
        <f>ROUND(Source!S65,O80)</f>
        <v>61698</v>
      </c>
      <c r="G80" s="129" t="s">
        <v>127</v>
      </c>
      <c r="H80" s="129" t="s">
        <v>908</v>
      </c>
      <c r="I80" s="129"/>
      <c r="J80" s="129"/>
      <c r="K80" s="129">
        <v>205</v>
      </c>
      <c r="L80" s="129">
        <v>14</v>
      </c>
      <c r="M80" s="129">
        <v>3</v>
      </c>
      <c r="N80" s="129"/>
      <c r="O80" s="129">
        <v>0</v>
      </c>
      <c r="P80" s="129">
        <f>ROUND(Source!DK65,O80)</f>
        <v>97204</v>
      </c>
      <c r="Q80" s="129"/>
      <c r="R80" s="129"/>
      <c r="S80" s="129"/>
      <c r="T80" s="129"/>
      <c r="U80" s="129"/>
      <c r="V80" s="129"/>
      <c r="W80" s="129"/>
    </row>
    <row r="81" spans="1:23" x14ac:dyDescent="0.2">
      <c r="A81" s="129">
        <v>50</v>
      </c>
      <c r="B81" s="129">
        <v>0</v>
      </c>
      <c r="C81" s="129">
        <v>0</v>
      </c>
      <c r="D81" s="129">
        <v>1</v>
      </c>
      <c r="E81" s="129">
        <v>232</v>
      </c>
      <c r="F81" s="129">
        <f>ROUND(Source!BC65,O81)</f>
        <v>0</v>
      </c>
      <c r="G81" s="129" t="s">
        <v>909</v>
      </c>
      <c r="H81" s="129" t="s">
        <v>910</v>
      </c>
      <c r="I81" s="129"/>
      <c r="J81" s="129"/>
      <c r="K81" s="129">
        <v>232</v>
      </c>
      <c r="L81" s="129">
        <v>15</v>
      </c>
      <c r="M81" s="129">
        <v>3</v>
      </c>
      <c r="N81" s="129"/>
      <c r="O81" s="129">
        <v>0</v>
      </c>
      <c r="P81" s="129">
        <f>ROUND(Source!EU65,O81)</f>
        <v>0</v>
      </c>
      <c r="Q81" s="129"/>
      <c r="R81" s="129"/>
      <c r="S81" s="129"/>
      <c r="T81" s="129"/>
      <c r="U81" s="129"/>
      <c r="V81" s="129"/>
      <c r="W81" s="129"/>
    </row>
    <row r="82" spans="1:23" x14ac:dyDescent="0.2">
      <c r="A82" s="129">
        <v>50</v>
      </c>
      <c r="B82" s="129">
        <v>0</v>
      </c>
      <c r="C82" s="129">
        <v>0</v>
      </c>
      <c r="D82" s="129">
        <v>1</v>
      </c>
      <c r="E82" s="129">
        <v>214</v>
      </c>
      <c r="F82" s="129">
        <f>ROUND(Source!AS65,O82)</f>
        <v>561361</v>
      </c>
      <c r="G82" s="129" t="s">
        <v>911</v>
      </c>
      <c r="H82" s="129" t="s">
        <v>912</v>
      </c>
      <c r="I82" s="129"/>
      <c r="J82" s="129"/>
      <c r="K82" s="129">
        <v>214</v>
      </c>
      <c r="L82" s="129">
        <v>16</v>
      </c>
      <c r="M82" s="129">
        <v>3</v>
      </c>
      <c r="N82" s="129"/>
      <c r="O82" s="129">
        <v>0</v>
      </c>
      <c r="P82" s="129">
        <f>ROUND(Source!EK65,O82)</f>
        <v>715031</v>
      </c>
      <c r="Q82" s="129"/>
      <c r="R82" s="129"/>
      <c r="S82" s="129"/>
      <c r="T82" s="129"/>
      <c r="U82" s="129"/>
      <c r="V82" s="129"/>
      <c r="W82" s="129"/>
    </row>
    <row r="83" spans="1:23" x14ac:dyDescent="0.2">
      <c r="A83" s="129">
        <v>50</v>
      </c>
      <c r="B83" s="129">
        <v>0</v>
      </c>
      <c r="C83" s="129">
        <v>0</v>
      </c>
      <c r="D83" s="129">
        <v>1</v>
      </c>
      <c r="E83" s="129">
        <v>215</v>
      </c>
      <c r="F83" s="129">
        <f>ROUND(Source!AT65,O83)</f>
        <v>0</v>
      </c>
      <c r="G83" s="129" t="s">
        <v>913</v>
      </c>
      <c r="H83" s="129" t="s">
        <v>914</v>
      </c>
      <c r="I83" s="129"/>
      <c r="J83" s="129"/>
      <c r="K83" s="129">
        <v>215</v>
      </c>
      <c r="L83" s="129">
        <v>17</v>
      </c>
      <c r="M83" s="129">
        <v>3</v>
      </c>
      <c r="N83" s="129"/>
      <c r="O83" s="129">
        <v>0</v>
      </c>
      <c r="P83" s="129">
        <f>ROUND(Source!EL65,O83)</f>
        <v>0</v>
      </c>
      <c r="Q83" s="129"/>
      <c r="R83" s="129"/>
      <c r="S83" s="129"/>
      <c r="T83" s="129"/>
      <c r="U83" s="129"/>
      <c r="V83" s="129"/>
      <c r="W83" s="129"/>
    </row>
    <row r="84" spans="1:23" x14ac:dyDescent="0.2">
      <c r="A84" s="129">
        <v>50</v>
      </c>
      <c r="B84" s="129">
        <v>0</v>
      </c>
      <c r="C84" s="129">
        <v>0</v>
      </c>
      <c r="D84" s="129">
        <v>1</v>
      </c>
      <c r="E84" s="129">
        <v>217</v>
      </c>
      <c r="F84" s="129">
        <f>ROUND(Source!AU65,O84)</f>
        <v>0</v>
      </c>
      <c r="G84" s="129" t="s">
        <v>915</v>
      </c>
      <c r="H84" s="129" t="s">
        <v>916</v>
      </c>
      <c r="I84" s="129"/>
      <c r="J84" s="129"/>
      <c r="K84" s="129">
        <v>217</v>
      </c>
      <c r="L84" s="129">
        <v>18</v>
      </c>
      <c r="M84" s="129">
        <v>3</v>
      </c>
      <c r="N84" s="129"/>
      <c r="O84" s="129">
        <v>0</v>
      </c>
      <c r="P84" s="129">
        <f>ROUND(Source!EM65,O84)</f>
        <v>0</v>
      </c>
      <c r="Q84" s="129"/>
      <c r="R84" s="129"/>
      <c r="S84" s="129"/>
      <c r="T84" s="129"/>
      <c r="U84" s="129"/>
      <c r="V84" s="129"/>
      <c r="W84" s="129"/>
    </row>
    <row r="85" spans="1:23" x14ac:dyDescent="0.2">
      <c r="A85" s="129">
        <v>50</v>
      </c>
      <c r="B85" s="129">
        <v>0</v>
      </c>
      <c r="C85" s="129">
        <v>0</v>
      </c>
      <c r="D85" s="129">
        <v>1</v>
      </c>
      <c r="E85" s="129">
        <v>230</v>
      </c>
      <c r="F85" s="129">
        <f>ROUND(Source!BA65,O85)</f>
        <v>0</v>
      </c>
      <c r="G85" s="129" t="s">
        <v>917</v>
      </c>
      <c r="H85" s="129" t="s">
        <v>918</v>
      </c>
      <c r="I85" s="129"/>
      <c r="J85" s="129"/>
      <c r="K85" s="129">
        <v>230</v>
      </c>
      <c r="L85" s="129">
        <v>19</v>
      </c>
      <c r="M85" s="129">
        <v>3</v>
      </c>
      <c r="N85" s="129"/>
      <c r="O85" s="129">
        <v>0</v>
      </c>
      <c r="P85" s="129">
        <f>ROUND(Source!ES65,O85)</f>
        <v>0</v>
      </c>
      <c r="Q85" s="129"/>
      <c r="R85" s="129"/>
      <c r="S85" s="129"/>
      <c r="T85" s="129"/>
      <c r="U85" s="129"/>
      <c r="V85" s="129"/>
      <c r="W85" s="129"/>
    </row>
    <row r="86" spans="1:23" x14ac:dyDescent="0.2">
      <c r="A86" s="129">
        <v>50</v>
      </c>
      <c r="B86" s="129">
        <v>0</v>
      </c>
      <c r="C86" s="129">
        <v>0</v>
      </c>
      <c r="D86" s="129">
        <v>1</v>
      </c>
      <c r="E86" s="129">
        <v>206</v>
      </c>
      <c r="F86" s="129">
        <f>ROUND(Source!T65,O86)</f>
        <v>0</v>
      </c>
      <c r="G86" s="129" t="s">
        <v>919</v>
      </c>
      <c r="H86" s="129" t="s">
        <v>920</v>
      </c>
      <c r="I86" s="129"/>
      <c r="J86" s="129"/>
      <c r="K86" s="129">
        <v>206</v>
      </c>
      <c r="L86" s="129">
        <v>20</v>
      </c>
      <c r="M86" s="129">
        <v>3</v>
      </c>
      <c r="N86" s="129"/>
      <c r="O86" s="129">
        <v>0</v>
      </c>
      <c r="P86" s="129">
        <f>ROUND(Source!DL65,O86)</f>
        <v>0</v>
      </c>
      <c r="Q86" s="129"/>
      <c r="R86" s="129"/>
      <c r="S86" s="129"/>
      <c r="T86" s="129"/>
      <c r="U86" s="129"/>
      <c r="V86" s="129"/>
      <c r="W86" s="129"/>
    </row>
    <row r="87" spans="1:23" x14ac:dyDescent="0.2">
      <c r="A87" s="129">
        <v>50</v>
      </c>
      <c r="B87" s="129">
        <v>0</v>
      </c>
      <c r="C87" s="129">
        <v>0</v>
      </c>
      <c r="D87" s="129">
        <v>1</v>
      </c>
      <c r="E87" s="129">
        <v>207</v>
      </c>
      <c r="F87" s="129">
        <f>Source!U65</f>
        <v>605.78742554999985</v>
      </c>
      <c r="G87" s="129" t="s">
        <v>921</v>
      </c>
      <c r="H87" s="129" t="s">
        <v>922</v>
      </c>
      <c r="I87" s="129"/>
      <c r="J87" s="129"/>
      <c r="K87" s="129">
        <v>207</v>
      </c>
      <c r="L87" s="129">
        <v>21</v>
      </c>
      <c r="M87" s="129">
        <v>3</v>
      </c>
      <c r="N87" s="129"/>
      <c r="O87" s="129">
        <v>-1</v>
      </c>
      <c r="P87" s="129">
        <f>Source!DM65</f>
        <v>605.78742554999985</v>
      </c>
      <c r="Q87" s="129"/>
      <c r="R87" s="129"/>
      <c r="S87" s="129"/>
      <c r="T87" s="129"/>
      <c r="U87" s="129"/>
      <c r="V87" s="129"/>
      <c r="W87" s="129"/>
    </row>
    <row r="88" spans="1:23" x14ac:dyDescent="0.2">
      <c r="A88" s="129">
        <v>50</v>
      </c>
      <c r="B88" s="129">
        <v>0</v>
      </c>
      <c r="C88" s="129">
        <v>0</v>
      </c>
      <c r="D88" s="129">
        <v>1</v>
      </c>
      <c r="E88" s="129">
        <v>208</v>
      </c>
      <c r="F88" s="129">
        <f>Source!V65</f>
        <v>3.7164324999999998</v>
      </c>
      <c r="G88" s="129" t="s">
        <v>923</v>
      </c>
      <c r="H88" s="129" t="s">
        <v>924</v>
      </c>
      <c r="I88" s="129"/>
      <c r="J88" s="129"/>
      <c r="K88" s="129">
        <v>208</v>
      </c>
      <c r="L88" s="129">
        <v>22</v>
      </c>
      <c r="M88" s="129">
        <v>3</v>
      </c>
      <c r="N88" s="129"/>
      <c r="O88" s="129">
        <v>-1</v>
      </c>
      <c r="P88" s="129">
        <f>Source!DN65</f>
        <v>3.7164324999999998</v>
      </c>
      <c r="Q88" s="129"/>
      <c r="R88" s="129"/>
      <c r="S88" s="129"/>
      <c r="T88" s="129"/>
      <c r="U88" s="129"/>
      <c r="V88" s="129"/>
      <c r="W88" s="129"/>
    </row>
    <row r="89" spans="1:23" x14ac:dyDescent="0.2">
      <c r="A89" s="129">
        <v>50</v>
      </c>
      <c r="B89" s="129">
        <v>0</v>
      </c>
      <c r="C89" s="129">
        <v>0</v>
      </c>
      <c r="D89" s="129">
        <v>1</v>
      </c>
      <c r="E89" s="129">
        <v>209</v>
      </c>
      <c r="F89" s="129">
        <f>ROUND(Source!W65,O89)</f>
        <v>0</v>
      </c>
      <c r="G89" s="129" t="s">
        <v>925</v>
      </c>
      <c r="H89" s="129" t="s">
        <v>926</v>
      </c>
      <c r="I89" s="129"/>
      <c r="J89" s="129"/>
      <c r="K89" s="129">
        <v>209</v>
      </c>
      <c r="L89" s="129">
        <v>23</v>
      </c>
      <c r="M89" s="129">
        <v>3</v>
      </c>
      <c r="N89" s="129"/>
      <c r="O89" s="129">
        <v>0</v>
      </c>
      <c r="P89" s="129">
        <f>ROUND(Source!DO65,O89)</f>
        <v>0</v>
      </c>
      <c r="Q89" s="129"/>
      <c r="R89" s="129"/>
      <c r="S89" s="129"/>
      <c r="T89" s="129"/>
      <c r="U89" s="129"/>
      <c r="V89" s="129"/>
      <c r="W89" s="129"/>
    </row>
    <row r="90" spans="1:23" x14ac:dyDescent="0.2">
      <c r="A90" s="129">
        <v>50</v>
      </c>
      <c r="B90" s="129">
        <v>0</v>
      </c>
      <c r="C90" s="129">
        <v>0</v>
      </c>
      <c r="D90" s="129">
        <v>1</v>
      </c>
      <c r="E90" s="129">
        <v>233</v>
      </c>
      <c r="F90" s="129">
        <f>ROUND(Source!BD65,O90)</f>
        <v>5548</v>
      </c>
      <c r="G90" s="129" t="s">
        <v>927</v>
      </c>
      <c r="H90" s="129" t="s">
        <v>132</v>
      </c>
      <c r="I90" s="129"/>
      <c r="J90" s="129"/>
      <c r="K90" s="129">
        <v>233</v>
      </c>
      <c r="L90" s="129">
        <v>24</v>
      </c>
      <c r="M90" s="129">
        <v>3</v>
      </c>
      <c r="N90" s="129"/>
      <c r="O90" s="129">
        <v>0</v>
      </c>
      <c r="P90" s="129">
        <f>ROUND(Source!EV65,O90)</f>
        <v>8793</v>
      </c>
      <c r="Q90" s="129"/>
      <c r="R90" s="129"/>
      <c r="S90" s="129"/>
      <c r="T90" s="129"/>
      <c r="U90" s="129"/>
      <c r="V90" s="129"/>
      <c r="W90" s="129"/>
    </row>
    <row r="91" spans="1:23" x14ac:dyDescent="0.2">
      <c r="A91" s="129">
        <v>50</v>
      </c>
      <c r="B91" s="129">
        <v>0</v>
      </c>
      <c r="C91" s="129">
        <v>0</v>
      </c>
      <c r="D91" s="129">
        <v>1</v>
      </c>
      <c r="E91" s="129">
        <v>0</v>
      </c>
      <c r="F91" s="129">
        <f>ROUND(Source!X65,O91)</f>
        <v>60110</v>
      </c>
      <c r="G91" s="129" t="s">
        <v>130</v>
      </c>
      <c r="H91" s="129" t="s">
        <v>928</v>
      </c>
      <c r="I91" s="129"/>
      <c r="J91" s="129"/>
      <c r="K91" s="129">
        <v>210</v>
      </c>
      <c r="L91" s="129">
        <v>25</v>
      </c>
      <c r="M91" s="129">
        <v>3</v>
      </c>
      <c r="N91" s="129"/>
      <c r="O91" s="129">
        <v>0</v>
      </c>
      <c r="P91" s="129">
        <f>ROUND(Source!DP65,O91)</f>
        <v>91605</v>
      </c>
      <c r="Q91" s="129"/>
      <c r="R91" s="129"/>
      <c r="S91" s="129"/>
      <c r="T91" s="129"/>
      <c r="U91" s="129"/>
      <c r="V91" s="129"/>
      <c r="W91" s="129"/>
    </row>
    <row r="92" spans="1:23" x14ac:dyDescent="0.2">
      <c r="A92" s="129">
        <v>50</v>
      </c>
      <c r="B92" s="129">
        <v>0</v>
      </c>
      <c r="C92" s="129">
        <v>0</v>
      </c>
      <c r="D92" s="129">
        <v>1</v>
      </c>
      <c r="E92" s="129">
        <v>0</v>
      </c>
      <c r="F92" s="129">
        <f>ROUND(Source!Y65,O92)</f>
        <v>30563</v>
      </c>
      <c r="G92" s="129" t="s">
        <v>929</v>
      </c>
      <c r="H92" s="129" t="s">
        <v>930</v>
      </c>
      <c r="I92" s="129"/>
      <c r="J92" s="129"/>
      <c r="K92" s="129">
        <v>211</v>
      </c>
      <c r="L92" s="129">
        <v>26</v>
      </c>
      <c r="M92" s="129">
        <v>3</v>
      </c>
      <c r="N92" s="129"/>
      <c r="O92" s="129">
        <v>0</v>
      </c>
      <c r="P92" s="129">
        <f>ROUND(Source!DQ65,O92)</f>
        <v>52087</v>
      </c>
      <c r="Q92" s="129"/>
      <c r="R92" s="129"/>
      <c r="S92" s="129"/>
      <c r="T92" s="129"/>
      <c r="U92" s="129"/>
      <c r="V92" s="129"/>
      <c r="W92" s="129"/>
    </row>
    <row r="93" spans="1:23" x14ac:dyDescent="0.2">
      <c r="A93" s="129">
        <v>50</v>
      </c>
      <c r="B93" s="129">
        <v>0</v>
      </c>
      <c r="C93" s="129">
        <v>0</v>
      </c>
      <c r="D93" s="129">
        <v>1</v>
      </c>
      <c r="E93" s="129">
        <v>224</v>
      </c>
      <c r="F93" s="129">
        <f>ROUND(Source!AR65,O93)</f>
        <v>561361</v>
      </c>
      <c r="G93" s="129" t="s">
        <v>79</v>
      </c>
      <c r="H93" s="129" t="s">
        <v>931</v>
      </c>
      <c r="I93" s="129"/>
      <c r="J93" s="129"/>
      <c r="K93" s="129">
        <v>224</v>
      </c>
      <c r="L93" s="129">
        <v>27</v>
      </c>
      <c r="M93" s="129">
        <v>3</v>
      </c>
      <c r="N93" s="129"/>
      <c r="O93" s="129">
        <v>0</v>
      </c>
      <c r="P93" s="129">
        <f>ROUND(Source!EJ65,O93)</f>
        <v>715031</v>
      </c>
      <c r="Q93" s="129"/>
      <c r="R93" s="129"/>
      <c r="S93" s="129"/>
      <c r="T93" s="129"/>
      <c r="U93" s="129"/>
      <c r="V93" s="129"/>
      <c r="W93" s="129"/>
    </row>
    <row r="94" spans="1:23" x14ac:dyDescent="0.2">
      <c r="A94" s="129">
        <v>50</v>
      </c>
      <c r="B94" s="129">
        <v>1</v>
      </c>
      <c r="C94" s="129">
        <v>0</v>
      </c>
      <c r="D94" s="129">
        <v>2</v>
      </c>
      <c r="E94" s="129">
        <v>205</v>
      </c>
      <c r="F94" s="129">
        <f>ROUND(F80,O94)</f>
        <v>61698</v>
      </c>
      <c r="G94" s="129" t="s">
        <v>87</v>
      </c>
      <c r="H94" s="129" t="s">
        <v>127</v>
      </c>
      <c r="I94" s="129"/>
      <c r="J94" s="129"/>
      <c r="K94" s="129">
        <v>212</v>
      </c>
      <c r="L94" s="129">
        <v>28</v>
      </c>
      <c r="M94" s="129">
        <v>0</v>
      </c>
      <c r="N94" s="129"/>
      <c r="O94" s="129">
        <v>0</v>
      </c>
      <c r="P94" s="129">
        <f>ROUND(P80,O94)</f>
        <v>97204</v>
      </c>
      <c r="Q94" s="129"/>
      <c r="R94" s="129"/>
      <c r="S94" s="129"/>
      <c r="T94" s="129"/>
      <c r="U94" s="129"/>
      <c r="V94" s="129"/>
      <c r="W94" s="129"/>
    </row>
    <row r="95" spans="1:23" x14ac:dyDescent="0.2">
      <c r="A95" s="129">
        <v>50</v>
      </c>
      <c r="B95" s="129">
        <v>1</v>
      </c>
      <c r="C95" s="129">
        <v>0</v>
      </c>
      <c r="D95" s="129">
        <v>2</v>
      </c>
      <c r="E95" s="129">
        <v>203</v>
      </c>
      <c r="F95" s="129">
        <f>ROUND(F77,O95)</f>
        <v>8101</v>
      </c>
      <c r="G95" s="129" t="s">
        <v>96</v>
      </c>
      <c r="H95" s="129" t="s">
        <v>128</v>
      </c>
      <c r="I95" s="129"/>
      <c r="J95" s="129"/>
      <c r="K95" s="129">
        <v>212</v>
      </c>
      <c r="L95" s="129">
        <v>29</v>
      </c>
      <c r="M95" s="129">
        <v>0</v>
      </c>
      <c r="N95" s="129"/>
      <c r="O95" s="129">
        <v>0</v>
      </c>
      <c r="P95" s="129">
        <f>ROUND(P77,O95)</f>
        <v>12201</v>
      </c>
      <c r="Q95" s="129"/>
      <c r="R95" s="129"/>
      <c r="S95" s="129"/>
      <c r="T95" s="129"/>
      <c r="U95" s="129"/>
      <c r="V95" s="129"/>
      <c r="W95" s="129"/>
    </row>
    <row r="96" spans="1:23" x14ac:dyDescent="0.2">
      <c r="A96" s="129">
        <v>50</v>
      </c>
      <c r="B96" s="129">
        <v>1</v>
      </c>
      <c r="C96" s="129">
        <v>0</v>
      </c>
      <c r="D96" s="129">
        <v>2</v>
      </c>
      <c r="E96" s="129">
        <v>202</v>
      </c>
      <c r="F96" s="129">
        <f>ROUND(F68,O96)</f>
        <v>400889</v>
      </c>
      <c r="G96" s="129" t="s">
        <v>100</v>
      </c>
      <c r="H96" s="129" t="s">
        <v>932</v>
      </c>
      <c r="I96" s="129"/>
      <c r="J96" s="129"/>
      <c r="K96" s="129">
        <v>212</v>
      </c>
      <c r="L96" s="129">
        <v>30</v>
      </c>
      <c r="M96" s="129">
        <v>0</v>
      </c>
      <c r="N96" s="129"/>
      <c r="O96" s="129">
        <v>0</v>
      </c>
      <c r="P96" s="129">
        <f>ROUND(P68,O96)</f>
        <v>461934</v>
      </c>
      <c r="Q96" s="129"/>
      <c r="R96" s="129"/>
      <c r="S96" s="129"/>
      <c r="T96" s="129"/>
      <c r="U96" s="129"/>
      <c r="V96" s="129"/>
      <c r="W96" s="129"/>
    </row>
    <row r="97" spans="1:206" x14ac:dyDescent="0.2">
      <c r="A97" s="129">
        <v>50</v>
      </c>
      <c r="B97" s="129">
        <v>1</v>
      </c>
      <c r="C97" s="129">
        <v>0</v>
      </c>
      <c r="D97" s="129">
        <v>2</v>
      </c>
      <c r="E97" s="129">
        <v>210</v>
      </c>
      <c r="F97" s="129">
        <f>ROUND(F91,O97)</f>
        <v>60110</v>
      </c>
      <c r="G97" s="129" t="s">
        <v>105</v>
      </c>
      <c r="H97" s="129" t="s">
        <v>130</v>
      </c>
      <c r="I97" s="129"/>
      <c r="J97" s="129"/>
      <c r="K97" s="129">
        <v>212</v>
      </c>
      <c r="L97" s="129">
        <v>31</v>
      </c>
      <c r="M97" s="129">
        <v>0</v>
      </c>
      <c r="N97" s="129"/>
      <c r="O97" s="129">
        <v>0</v>
      </c>
      <c r="P97" s="129">
        <f>ROUND(P91,O97)</f>
        <v>91605</v>
      </c>
      <c r="Q97" s="129"/>
      <c r="R97" s="129"/>
      <c r="S97" s="129"/>
      <c r="T97" s="129"/>
      <c r="U97" s="129"/>
      <c r="V97" s="129"/>
      <c r="W97" s="129"/>
    </row>
    <row r="98" spans="1:206" x14ac:dyDescent="0.2">
      <c r="A98" s="129">
        <v>50</v>
      </c>
      <c r="B98" s="129">
        <v>1</v>
      </c>
      <c r="C98" s="129">
        <v>0</v>
      </c>
      <c r="D98" s="129">
        <v>2</v>
      </c>
      <c r="E98" s="129">
        <v>211</v>
      </c>
      <c r="F98" s="129">
        <f>ROUND(F92,O98)</f>
        <v>30563</v>
      </c>
      <c r="G98" s="129" t="s">
        <v>106</v>
      </c>
      <c r="H98" s="129" t="s">
        <v>131</v>
      </c>
      <c r="I98" s="129"/>
      <c r="J98" s="129"/>
      <c r="K98" s="129">
        <v>212</v>
      </c>
      <c r="L98" s="129">
        <v>32</v>
      </c>
      <c r="M98" s="129">
        <v>0</v>
      </c>
      <c r="N98" s="129"/>
      <c r="O98" s="129">
        <v>0</v>
      </c>
      <c r="P98" s="129">
        <f>ROUND(P92,O98)</f>
        <v>52087</v>
      </c>
      <c r="Q98" s="129"/>
      <c r="R98" s="129"/>
      <c r="S98" s="129"/>
      <c r="T98" s="129"/>
      <c r="U98" s="129"/>
      <c r="V98" s="129"/>
      <c r="W98" s="129"/>
    </row>
    <row r="99" spans="1:206" x14ac:dyDescent="0.2">
      <c r="A99" s="129">
        <v>50</v>
      </c>
      <c r="B99" s="129">
        <v>1</v>
      </c>
      <c r="C99" s="129">
        <v>0</v>
      </c>
      <c r="D99" s="129">
        <v>2</v>
      </c>
      <c r="E99" s="129">
        <v>213</v>
      </c>
      <c r="F99" s="129">
        <f>ROUND(F94+F95+F96+F97+F98,O99)</f>
        <v>561361</v>
      </c>
      <c r="G99" s="129" t="s">
        <v>112</v>
      </c>
      <c r="H99" s="129" t="s">
        <v>134</v>
      </c>
      <c r="I99" s="129"/>
      <c r="J99" s="129"/>
      <c r="K99" s="129">
        <v>212</v>
      </c>
      <c r="L99" s="129">
        <v>33</v>
      </c>
      <c r="M99" s="129">
        <v>0</v>
      </c>
      <c r="N99" s="129"/>
      <c r="O99" s="129">
        <v>0</v>
      </c>
      <c r="P99" s="129">
        <f>ROUND(P94+P95+P96+P97+P98,O99)</f>
        <v>715031</v>
      </c>
      <c r="Q99" s="129"/>
      <c r="R99" s="129"/>
      <c r="S99" s="129"/>
      <c r="T99" s="129"/>
      <c r="U99" s="129"/>
      <c r="V99" s="129"/>
      <c r="W99" s="129"/>
    </row>
    <row r="101" spans="1:206" x14ac:dyDescent="0.2">
      <c r="A101" s="126">
        <v>51</v>
      </c>
      <c r="B101" s="126">
        <f>B12</f>
        <v>166</v>
      </c>
      <c r="C101" s="126">
        <f>A12</f>
        <v>1</v>
      </c>
      <c r="D101" s="126">
        <f>ROW(A12)</f>
        <v>12</v>
      </c>
      <c r="E101" s="126"/>
      <c r="F101" s="126" t="str">
        <f>IF(F12&lt;&gt;"",F12,"")</f>
        <v>02-01-01</v>
      </c>
      <c r="G101" s="126" t="str">
        <f>IF(G12&lt;&gt;"",G12,"")</f>
        <v>1077-2020 Аксаринская начальная школа детский-сад</v>
      </c>
      <c r="H101" s="126">
        <v>0</v>
      </c>
      <c r="I101" s="126"/>
      <c r="J101" s="126"/>
      <c r="K101" s="126"/>
      <c r="L101" s="126"/>
      <c r="M101" s="126"/>
      <c r="N101" s="126"/>
      <c r="O101" s="126">
        <f t="shared" ref="O101:T101" si="59">ROUND(O65,0)</f>
        <v>470688</v>
      </c>
      <c r="P101" s="126">
        <f t="shared" si="59"/>
        <v>400889</v>
      </c>
      <c r="Q101" s="126">
        <f t="shared" si="59"/>
        <v>8101</v>
      </c>
      <c r="R101" s="126">
        <f t="shared" si="59"/>
        <v>353</v>
      </c>
      <c r="S101" s="126">
        <f t="shared" si="59"/>
        <v>61698</v>
      </c>
      <c r="T101" s="126">
        <f t="shared" si="59"/>
        <v>0</v>
      </c>
      <c r="U101" s="126">
        <f>U65</f>
        <v>605.78742554999985</v>
      </c>
      <c r="V101" s="126">
        <f>V65</f>
        <v>3.7164324999999998</v>
      </c>
      <c r="W101" s="126">
        <f>ROUND(W65,0)</f>
        <v>0</v>
      </c>
      <c r="X101" s="126">
        <f>ROUND(X65,0)</f>
        <v>60110</v>
      </c>
      <c r="Y101" s="126">
        <f>ROUND(Y65,0)</f>
        <v>30563</v>
      </c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>
        <f t="shared" ref="AO101:BD101" si="60">ROUND(AO65,0)</f>
        <v>0</v>
      </c>
      <c r="AP101" s="126">
        <f t="shared" si="60"/>
        <v>0</v>
      </c>
      <c r="AQ101" s="126">
        <f t="shared" si="60"/>
        <v>0</v>
      </c>
      <c r="AR101" s="126">
        <f t="shared" si="60"/>
        <v>561361</v>
      </c>
      <c r="AS101" s="126">
        <f t="shared" si="60"/>
        <v>561361</v>
      </c>
      <c r="AT101" s="126">
        <f t="shared" si="60"/>
        <v>0</v>
      </c>
      <c r="AU101" s="126">
        <f t="shared" si="60"/>
        <v>0</v>
      </c>
      <c r="AV101" s="126">
        <f t="shared" si="60"/>
        <v>400889</v>
      </c>
      <c r="AW101" s="126">
        <f t="shared" si="60"/>
        <v>400889</v>
      </c>
      <c r="AX101" s="126">
        <f t="shared" si="60"/>
        <v>0</v>
      </c>
      <c r="AY101" s="126">
        <f t="shared" si="60"/>
        <v>400889</v>
      </c>
      <c r="AZ101" s="126">
        <f t="shared" si="60"/>
        <v>0</v>
      </c>
      <c r="BA101" s="126">
        <f t="shared" si="60"/>
        <v>0</v>
      </c>
      <c r="BB101" s="126">
        <f t="shared" si="60"/>
        <v>0</v>
      </c>
      <c r="BC101" s="126">
        <f t="shared" si="60"/>
        <v>0</v>
      </c>
      <c r="BD101" s="126">
        <f t="shared" si="60"/>
        <v>5548</v>
      </c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126"/>
      <c r="CF101" s="126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7">
        <f t="shared" ref="DG101:DL101" si="61">ROUND(DG65,0)</f>
        <v>571339</v>
      </c>
      <c r="DH101" s="127">
        <f t="shared" si="61"/>
        <v>461934</v>
      </c>
      <c r="DI101" s="127">
        <f t="shared" si="61"/>
        <v>12201</v>
      </c>
      <c r="DJ101" s="127">
        <f t="shared" si="61"/>
        <v>2556</v>
      </c>
      <c r="DK101" s="127">
        <f t="shared" si="61"/>
        <v>97204</v>
      </c>
      <c r="DL101" s="127">
        <f t="shared" si="61"/>
        <v>0</v>
      </c>
      <c r="DM101" s="127">
        <f>DM65</f>
        <v>605.78742554999985</v>
      </c>
      <c r="DN101" s="127">
        <f>DN65</f>
        <v>3.7164324999999998</v>
      </c>
      <c r="DO101" s="127">
        <f>ROUND(DO65,0)</f>
        <v>0</v>
      </c>
      <c r="DP101" s="127">
        <f>ROUND(DP65,0)</f>
        <v>91605</v>
      </c>
      <c r="DQ101" s="127">
        <f>ROUND(DQ65,0)</f>
        <v>52087</v>
      </c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>
        <f t="shared" ref="EG101:EV101" si="62">ROUND(EG65,0)</f>
        <v>0</v>
      </c>
      <c r="EH101" s="127">
        <f t="shared" si="62"/>
        <v>0</v>
      </c>
      <c r="EI101" s="127">
        <f t="shared" si="62"/>
        <v>0</v>
      </c>
      <c r="EJ101" s="127">
        <f t="shared" si="62"/>
        <v>715031</v>
      </c>
      <c r="EK101" s="127">
        <f t="shared" si="62"/>
        <v>715031</v>
      </c>
      <c r="EL101" s="127">
        <f t="shared" si="62"/>
        <v>0</v>
      </c>
      <c r="EM101" s="127">
        <f t="shared" si="62"/>
        <v>0</v>
      </c>
      <c r="EN101" s="127">
        <f t="shared" si="62"/>
        <v>461934</v>
      </c>
      <c r="EO101" s="127">
        <f t="shared" si="62"/>
        <v>461934</v>
      </c>
      <c r="EP101" s="127">
        <f t="shared" si="62"/>
        <v>0</v>
      </c>
      <c r="EQ101" s="127">
        <f t="shared" si="62"/>
        <v>461934</v>
      </c>
      <c r="ER101" s="127">
        <f t="shared" si="62"/>
        <v>0</v>
      </c>
      <c r="ES101" s="127">
        <f t="shared" si="62"/>
        <v>0</v>
      </c>
      <c r="ET101" s="127">
        <f t="shared" si="62"/>
        <v>0</v>
      </c>
      <c r="EU101" s="127">
        <f t="shared" si="62"/>
        <v>0</v>
      </c>
      <c r="EV101" s="127">
        <f t="shared" si="62"/>
        <v>8793</v>
      </c>
      <c r="EW101" s="127"/>
      <c r="EX101" s="127"/>
      <c r="EY101" s="127"/>
      <c r="EZ101" s="127"/>
      <c r="FA101" s="127"/>
      <c r="FB101" s="127"/>
      <c r="FC101" s="127"/>
      <c r="FD101" s="127"/>
      <c r="FE101" s="127"/>
      <c r="FF101" s="127"/>
      <c r="FG101" s="127"/>
      <c r="FH101" s="127"/>
      <c r="FI101" s="127"/>
      <c r="FJ101" s="127"/>
      <c r="FK101" s="127"/>
      <c r="FL101" s="127"/>
      <c r="FM101" s="127"/>
      <c r="FN101" s="127"/>
      <c r="FO101" s="127"/>
      <c r="FP101" s="127"/>
      <c r="FQ101" s="127"/>
      <c r="FR101" s="127"/>
      <c r="FS101" s="127"/>
      <c r="FT101" s="127"/>
      <c r="FU101" s="127"/>
      <c r="FV101" s="127"/>
      <c r="FW101" s="127"/>
      <c r="FX101" s="127"/>
      <c r="FY101" s="127"/>
      <c r="FZ101" s="127"/>
      <c r="GA101" s="127"/>
      <c r="GB101" s="127"/>
      <c r="GC101" s="127"/>
      <c r="GD101" s="127"/>
      <c r="GE101" s="127"/>
      <c r="GF101" s="127"/>
      <c r="GG101" s="127"/>
      <c r="GH101" s="127"/>
      <c r="GI101" s="127"/>
      <c r="GJ101" s="127"/>
      <c r="GK101" s="127"/>
      <c r="GL101" s="127"/>
      <c r="GM101" s="127"/>
      <c r="GN101" s="127"/>
      <c r="GO101" s="127"/>
      <c r="GP101" s="127"/>
      <c r="GQ101" s="127"/>
      <c r="GR101" s="127"/>
      <c r="GS101" s="127"/>
      <c r="GT101" s="127"/>
      <c r="GU101" s="127"/>
      <c r="GV101" s="127"/>
      <c r="GW101" s="127"/>
      <c r="GX101" s="127">
        <v>0</v>
      </c>
    </row>
    <row r="103" spans="1:206" x14ac:dyDescent="0.2">
      <c r="A103" s="129">
        <v>50</v>
      </c>
      <c r="B103" s="129">
        <v>0</v>
      </c>
      <c r="C103" s="129">
        <v>0</v>
      </c>
      <c r="D103" s="129">
        <v>1</v>
      </c>
      <c r="E103" s="129">
        <v>201</v>
      </c>
      <c r="F103" s="129">
        <f>ROUND(Source!O101,O103)</f>
        <v>470688</v>
      </c>
      <c r="G103" s="129" t="s">
        <v>882</v>
      </c>
      <c r="H103" s="129" t="s">
        <v>883</v>
      </c>
      <c r="I103" s="129"/>
      <c r="J103" s="129"/>
      <c r="K103" s="129">
        <v>201</v>
      </c>
      <c r="L103" s="129">
        <v>1</v>
      </c>
      <c r="M103" s="129">
        <v>3</v>
      </c>
      <c r="N103" s="129"/>
      <c r="O103" s="129">
        <v>0</v>
      </c>
      <c r="P103" s="129">
        <f>ROUND(Source!DG101,O103)</f>
        <v>571339</v>
      </c>
      <c r="Q103" s="129"/>
      <c r="R103" s="129"/>
      <c r="S103" s="129"/>
      <c r="T103" s="129"/>
      <c r="U103" s="129"/>
      <c r="V103" s="129"/>
      <c r="W103" s="129"/>
    </row>
    <row r="104" spans="1:206" x14ac:dyDescent="0.2">
      <c r="A104" s="129">
        <v>50</v>
      </c>
      <c r="B104" s="129">
        <v>0</v>
      </c>
      <c r="C104" s="129">
        <v>0</v>
      </c>
      <c r="D104" s="129">
        <v>1</v>
      </c>
      <c r="E104" s="129">
        <v>0</v>
      </c>
      <c r="F104" s="129">
        <f>ROUND(Source!P101,O104)</f>
        <v>400889</v>
      </c>
      <c r="G104" s="129" t="s">
        <v>884</v>
      </c>
      <c r="H104" s="129" t="s">
        <v>885</v>
      </c>
      <c r="I104" s="129"/>
      <c r="J104" s="129"/>
      <c r="K104" s="129">
        <v>202</v>
      </c>
      <c r="L104" s="129">
        <v>2</v>
      </c>
      <c r="M104" s="129">
        <v>3</v>
      </c>
      <c r="N104" s="129"/>
      <c r="O104" s="129">
        <v>0</v>
      </c>
      <c r="P104" s="129">
        <f>ROUND(Source!DH101,O104)</f>
        <v>461934</v>
      </c>
      <c r="Q104" s="129"/>
      <c r="R104" s="129"/>
      <c r="S104" s="129"/>
      <c r="T104" s="129"/>
      <c r="U104" s="129"/>
      <c r="V104" s="129"/>
      <c r="W104" s="129"/>
    </row>
    <row r="105" spans="1:206" x14ac:dyDescent="0.2">
      <c r="A105" s="129">
        <v>50</v>
      </c>
      <c r="B105" s="129">
        <v>0</v>
      </c>
      <c r="C105" s="129">
        <v>0</v>
      </c>
      <c r="D105" s="129">
        <v>1</v>
      </c>
      <c r="E105" s="129">
        <v>222</v>
      </c>
      <c r="F105" s="129">
        <f>ROUND(Source!AO101,O105)</f>
        <v>0</v>
      </c>
      <c r="G105" s="129" t="s">
        <v>886</v>
      </c>
      <c r="H105" s="129" t="s">
        <v>887</v>
      </c>
      <c r="I105" s="129"/>
      <c r="J105" s="129"/>
      <c r="K105" s="129">
        <v>222</v>
      </c>
      <c r="L105" s="129">
        <v>3</v>
      </c>
      <c r="M105" s="129">
        <v>3</v>
      </c>
      <c r="N105" s="129"/>
      <c r="O105" s="129">
        <v>0</v>
      </c>
      <c r="P105" s="129">
        <f>ROUND(Source!EG101,O105)</f>
        <v>0</v>
      </c>
      <c r="Q105" s="129"/>
      <c r="R105" s="129"/>
      <c r="S105" s="129"/>
      <c r="T105" s="129"/>
      <c r="U105" s="129"/>
      <c r="V105" s="129"/>
      <c r="W105" s="129"/>
    </row>
    <row r="106" spans="1:206" x14ac:dyDescent="0.2">
      <c r="A106" s="129">
        <v>50</v>
      </c>
      <c r="B106" s="129">
        <v>0</v>
      </c>
      <c r="C106" s="129">
        <v>0</v>
      </c>
      <c r="D106" s="129">
        <v>1</v>
      </c>
      <c r="E106" s="129">
        <v>225</v>
      </c>
      <c r="F106" s="129">
        <f>ROUND(Source!AV101,O106)</f>
        <v>400889</v>
      </c>
      <c r="G106" s="129" t="s">
        <v>888</v>
      </c>
      <c r="H106" s="129" t="s">
        <v>889</v>
      </c>
      <c r="I106" s="129"/>
      <c r="J106" s="129"/>
      <c r="K106" s="129">
        <v>225</v>
      </c>
      <c r="L106" s="129">
        <v>4</v>
      </c>
      <c r="M106" s="129">
        <v>3</v>
      </c>
      <c r="N106" s="129"/>
      <c r="O106" s="129">
        <v>0</v>
      </c>
      <c r="P106" s="129">
        <f>ROUND(Source!EN101,O106)</f>
        <v>461934</v>
      </c>
      <c r="Q106" s="129"/>
      <c r="R106" s="129"/>
      <c r="S106" s="129"/>
      <c r="T106" s="129"/>
      <c r="U106" s="129"/>
      <c r="V106" s="129"/>
      <c r="W106" s="129"/>
    </row>
    <row r="107" spans="1:206" x14ac:dyDescent="0.2">
      <c r="A107" s="129">
        <v>50</v>
      </c>
      <c r="B107" s="129">
        <v>0</v>
      </c>
      <c r="C107" s="129">
        <v>0</v>
      </c>
      <c r="D107" s="129">
        <v>1</v>
      </c>
      <c r="E107" s="129">
        <v>226</v>
      </c>
      <c r="F107" s="129">
        <f>ROUND(Source!AW101,O107)</f>
        <v>400889</v>
      </c>
      <c r="G107" s="129" t="s">
        <v>890</v>
      </c>
      <c r="H107" s="129" t="s">
        <v>891</v>
      </c>
      <c r="I107" s="129"/>
      <c r="J107" s="129"/>
      <c r="K107" s="129">
        <v>226</v>
      </c>
      <c r="L107" s="129">
        <v>5</v>
      </c>
      <c r="M107" s="129">
        <v>3</v>
      </c>
      <c r="N107" s="129"/>
      <c r="O107" s="129">
        <v>0</v>
      </c>
      <c r="P107" s="129">
        <f>ROUND(Source!EO101,O107)</f>
        <v>461934</v>
      </c>
      <c r="Q107" s="129"/>
      <c r="R107" s="129"/>
      <c r="S107" s="129"/>
      <c r="T107" s="129"/>
      <c r="U107" s="129"/>
      <c r="V107" s="129"/>
      <c r="W107" s="129"/>
    </row>
    <row r="108" spans="1:206" x14ac:dyDescent="0.2">
      <c r="A108" s="129">
        <v>50</v>
      </c>
      <c r="B108" s="129">
        <v>0</v>
      </c>
      <c r="C108" s="129">
        <v>0</v>
      </c>
      <c r="D108" s="129">
        <v>1</v>
      </c>
      <c r="E108" s="129">
        <v>227</v>
      </c>
      <c r="F108" s="129">
        <f>ROUND(Source!AX101,O108)</f>
        <v>0</v>
      </c>
      <c r="G108" s="129" t="s">
        <v>892</v>
      </c>
      <c r="H108" s="129" t="s">
        <v>893</v>
      </c>
      <c r="I108" s="129"/>
      <c r="J108" s="129"/>
      <c r="K108" s="129">
        <v>227</v>
      </c>
      <c r="L108" s="129">
        <v>6</v>
      </c>
      <c r="M108" s="129">
        <v>3</v>
      </c>
      <c r="N108" s="129"/>
      <c r="O108" s="129">
        <v>0</v>
      </c>
      <c r="P108" s="129">
        <f>ROUND(Source!EP101,O108)</f>
        <v>0</v>
      </c>
      <c r="Q108" s="129"/>
      <c r="R108" s="129"/>
      <c r="S108" s="129"/>
      <c r="T108" s="129"/>
      <c r="U108" s="129"/>
      <c r="V108" s="129"/>
      <c r="W108" s="129"/>
    </row>
    <row r="109" spans="1:206" x14ac:dyDescent="0.2">
      <c r="A109" s="129">
        <v>50</v>
      </c>
      <c r="B109" s="129">
        <v>0</v>
      </c>
      <c r="C109" s="129">
        <v>0</v>
      </c>
      <c r="D109" s="129">
        <v>1</v>
      </c>
      <c r="E109" s="129">
        <v>228</v>
      </c>
      <c r="F109" s="129">
        <f>ROUND(Source!AY101,O109)</f>
        <v>400889</v>
      </c>
      <c r="G109" s="129" t="s">
        <v>894</v>
      </c>
      <c r="H109" s="129" t="s">
        <v>895</v>
      </c>
      <c r="I109" s="129"/>
      <c r="J109" s="129"/>
      <c r="K109" s="129">
        <v>228</v>
      </c>
      <c r="L109" s="129">
        <v>7</v>
      </c>
      <c r="M109" s="129">
        <v>3</v>
      </c>
      <c r="N109" s="129"/>
      <c r="O109" s="129">
        <v>0</v>
      </c>
      <c r="P109" s="129">
        <f>ROUND(Source!EQ101,O109)</f>
        <v>461934</v>
      </c>
      <c r="Q109" s="129"/>
      <c r="R109" s="129"/>
      <c r="S109" s="129"/>
      <c r="T109" s="129"/>
      <c r="U109" s="129"/>
      <c r="V109" s="129"/>
      <c r="W109" s="129"/>
    </row>
    <row r="110" spans="1:206" x14ac:dyDescent="0.2">
      <c r="A110" s="129">
        <v>50</v>
      </c>
      <c r="B110" s="129">
        <v>0</v>
      </c>
      <c r="C110" s="129">
        <v>0</v>
      </c>
      <c r="D110" s="129">
        <v>1</v>
      </c>
      <c r="E110" s="129">
        <v>216</v>
      </c>
      <c r="F110" s="129">
        <f>ROUND(Source!AP101,O110)</f>
        <v>0</v>
      </c>
      <c r="G110" s="129" t="s">
        <v>896</v>
      </c>
      <c r="H110" s="129" t="s">
        <v>897</v>
      </c>
      <c r="I110" s="129"/>
      <c r="J110" s="129"/>
      <c r="K110" s="129">
        <v>216</v>
      </c>
      <c r="L110" s="129">
        <v>8</v>
      </c>
      <c r="M110" s="129">
        <v>3</v>
      </c>
      <c r="N110" s="129"/>
      <c r="O110" s="129">
        <v>0</v>
      </c>
      <c r="P110" s="129">
        <f>ROUND(Source!EH101,O110)</f>
        <v>0</v>
      </c>
      <c r="Q110" s="129"/>
      <c r="R110" s="129"/>
      <c r="S110" s="129"/>
      <c r="T110" s="129"/>
      <c r="U110" s="129"/>
      <c r="V110" s="129"/>
      <c r="W110" s="129"/>
    </row>
    <row r="111" spans="1:206" x14ac:dyDescent="0.2">
      <c r="A111" s="129">
        <v>50</v>
      </c>
      <c r="B111" s="129">
        <v>0</v>
      </c>
      <c r="C111" s="129">
        <v>0</v>
      </c>
      <c r="D111" s="129">
        <v>1</v>
      </c>
      <c r="E111" s="129">
        <v>223</v>
      </c>
      <c r="F111" s="129">
        <f>ROUND(Source!AQ101,O111)</f>
        <v>0</v>
      </c>
      <c r="G111" s="129" t="s">
        <v>898</v>
      </c>
      <c r="H111" s="129" t="s">
        <v>899</v>
      </c>
      <c r="I111" s="129"/>
      <c r="J111" s="129"/>
      <c r="K111" s="129">
        <v>223</v>
      </c>
      <c r="L111" s="129">
        <v>9</v>
      </c>
      <c r="M111" s="129">
        <v>3</v>
      </c>
      <c r="N111" s="129"/>
      <c r="O111" s="129">
        <v>0</v>
      </c>
      <c r="P111" s="129">
        <f>ROUND(Source!EI101,O111)</f>
        <v>0</v>
      </c>
      <c r="Q111" s="129"/>
      <c r="R111" s="129"/>
      <c r="S111" s="129"/>
      <c r="T111" s="129"/>
      <c r="U111" s="129"/>
      <c r="V111" s="129"/>
      <c r="W111" s="129"/>
    </row>
    <row r="112" spans="1:206" x14ac:dyDescent="0.2">
      <c r="A112" s="129">
        <v>50</v>
      </c>
      <c r="B112" s="129">
        <v>0</v>
      </c>
      <c r="C112" s="129">
        <v>0</v>
      </c>
      <c r="D112" s="129">
        <v>1</v>
      </c>
      <c r="E112" s="129">
        <v>229</v>
      </c>
      <c r="F112" s="129">
        <f>ROUND(Source!AZ101,O112)</f>
        <v>0</v>
      </c>
      <c r="G112" s="129" t="s">
        <v>900</v>
      </c>
      <c r="H112" s="129" t="s">
        <v>901</v>
      </c>
      <c r="I112" s="129"/>
      <c r="J112" s="129"/>
      <c r="K112" s="129">
        <v>229</v>
      </c>
      <c r="L112" s="129">
        <v>10</v>
      </c>
      <c r="M112" s="129">
        <v>3</v>
      </c>
      <c r="N112" s="129"/>
      <c r="O112" s="129">
        <v>0</v>
      </c>
      <c r="P112" s="129">
        <f>ROUND(Source!ER101,O112)</f>
        <v>0</v>
      </c>
      <c r="Q112" s="129"/>
      <c r="R112" s="129"/>
      <c r="S112" s="129"/>
      <c r="T112" s="129"/>
      <c r="U112" s="129"/>
      <c r="V112" s="129"/>
      <c r="W112" s="129"/>
    </row>
    <row r="113" spans="1:23" x14ac:dyDescent="0.2">
      <c r="A113" s="129">
        <v>50</v>
      </c>
      <c r="B113" s="129">
        <v>0</v>
      </c>
      <c r="C113" s="129">
        <v>0</v>
      </c>
      <c r="D113" s="129">
        <v>1</v>
      </c>
      <c r="E113" s="129">
        <v>0</v>
      </c>
      <c r="F113" s="129">
        <f>ROUND(Source!Q101,O113)</f>
        <v>8101</v>
      </c>
      <c r="G113" s="129" t="s">
        <v>902</v>
      </c>
      <c r="H113" s="129" t="s">
        <v>903</v>
      </c>
      <c r="I113" s="129"/>
      <c r="J113" s="129"/>
      <c r="K113" s="129">
        <v>203</v>
      </c>
      <c r="L113" s="129">
        <v>11</v>
      </c>
      <c r="M113" s="129">
        <v>3</v>
      </c>
      <c r="N113" s="129"/>
      <c r="O113" s="129">
        <v>0</v>
      </c>
      <c r="P113" s="129">
        <f>ROUND(Source!DI101,O113)</f>
        <v>12201</v>
      </c>
      <c r="Q113" s="129"/>
      <c r="R113" s="129"/>
      <c r="S113" s="129"/>
      <c r="T113" s="129"/>
      <c r="U113" s="129"/>
      <c r="V113" s="129"/>
      <c r="W113" s="129"/>
    </row>
    <row r="114" spans="1:23" x14ac:dyDescent="0.2">
      <c r="A114" s="129">
        <v>50</v>
      </c>
      <c r="B114" s="129">
        <v>0</v>
      </c>
      <c r="C114" s="129">
        <v>0</v>
      </c>
      <c r="D114" s="129">
        <v>1</v>
      </c>
      <c r="E114" s="129">
        <v>231</v>
      </c>
      <c r="F114" s="129">
        <f>ROUND(Source!BB101,O114)</f>
        <v>0</v>
      </c>
      <c r="G114" s="129" t="s">
        <v>904</v>
      </c>
      <c r="H114" s="129" t="s">
        <v>905</v>
      </c>
      <c r="I114" s="129"/>
      <c r="J114" s="129"/>
      <c r="K114" s="129">
        <v>231</v>
      </c>
      <c r="L114" s="129">
        <v>12</v>
      </c>
      <c r="M114" s="129">
        <v>3</v>
      </c>
      <c r="N114" s="129"/>
      <c r="O114" s="129">
        <v>0</v>
      </c>
      <c r="P114" s="129">
        <f>ROUND(Source!ET101,O114)</f>
        <v>0</v>
      </c>
      <c r="Q114" s="129"/>
      <c r="R114" s="129"/>
      <c r="S114" s="129"/>
      <c r="T114" s="129"/>
      <c r="U114" s="129"/>
      <c r="V114" s="129"/>
      <c r="W114" s="129"/>
    </row>
    <row r="115" spans="1:23" x14ac:dyDescent="0.2">
      <c r="A115" s="129">
        <v>50</v>
      </c>
      <c r="B115" s="129">
        <v>0</v>
      </c>
      <c r="C115" s="129">
        <v>0</v>
      </c>
      <c r="D115" s="129">
        <v>1</v>
      </c>
      <c r="E115" s="129">
        <v>204</v>
      </c>
      <c r="F115" s="129">
        <f>ROUND(Source!R101,O115)</f>
        <v>353</v>
      </c>
      <c r="G115" s="129" t="s">
        <v>906</v>
      </c>
      <c r="H115" s="129" t="s">
        <v>907</v>
      </c>
      <c r="I115" s="129"/>
      <c r="J115" s="129"/>
      <c r="K115" s="129">
        <v>204</v>
      </c>
      <c r="L115" s="129">
        <v>13</v>
      </c>
      <c r="M115" s="129">
        <v>3</v>
      </c>
      <c r="N115" s="129"/>
      <c r="O115" s="129">
        <v>0</v>
      </c>
      <c r="P115" s="129">
        <f>ROUND(Source!DJ101,O115)</f>
        <v>2556</v>
      </c>
      <c r="Q115" s="129"/>
      <c r="R115" s="129"/>
      <c r="S115" s="129"/>
      <c r="T115" s="129"/>
      <c r="U115" s="129"/>
      <c r="V115" s="129"/>
      <c r="W115" s="129"/>
    </row>
    <row r="116" spans="1:23" x14ac:dyDescent="0.2">
      <c r="A116" s="129">
        <v>50</v>
      </c>
      <c r="B116" s="129">
        <v>0</v>
      </c>
      <c r="C116" s="129">
        <v>0</v>
      </c>
      <c r="D116" s="129">
        <v>1</v>
      </c>
      <c r="E116" s="129">
        <v>0</v>
      </c>
      <c r="F116" s="129">
        <f>ROUND(Source!S101,O116)</f>
        <v>61698</v>
      </c>
      <c r="G116" s="129" t="s">
        <v>127</v>
      </c>
      <c r="H116" s="129" t="s">
        <v>908</v>
      </c>
      <c r="I116" s="129"/>
      <c r="J116" s="129"/>
      <c r="K116" s="129">
        <v>205</v>
      </c>
      <c r="L116" s="129">
        <v>14</v>
      </c>
      <c r="M116" s="129">
        <v>3</v>
      </c>
      <c r="N116" s="129"/>
      <c r="O116" s="129">
        <v>0</v>
      </c>
      <c r="P116" s="129">
        <f>ROUND(Source!DK101,O116)</f>
        <v>97204</v>
      </c>
      <c r="Q116" s="129"/>
      <c r="R116" s="129"/>
      <c r="S116" s="129"/>
      <c r="T116" s="129"/>
      <c r="U116" s="129"/>
      <c r="V116" s="129"/>
      <c r="W116" s="129"/>
    </row>
    <row r="117" spans="1:23" x14ac:dyDescent="0.2">
      <c r="A117" s="129">
        <v>50</v>
      </c>
      <c r="B117" s="129">
        <v>0</v>
      </c>
      <c r="C117" s="129">
        <v>0</v>
      </c>
      <c r="D117" s="129">
        <v>1</v>
      </c>
      <c r="E117" s="129">
        <v>232</v>
      </c>
      <c r="F117" s="129">
        <f>ROUND(Source!BC101,O117)</f>
        <v>0</v>
      </c>
      <c r="G117" s="129" t="s">
        <v>909</v>
      </c>
      <c r="H117" s="129" t="s">
        <v>910</v>
      </c>
      <c r="I117" s="129"/>
      <c r="J117" s="129"/>
      <c r="K117" s="129">
        <v>232</v>
      </c>
      <c r="L117" s="129">
        <v>15</v>
      </c>
      <c r="M117" s="129">
        <v>3</v>
      </c>
      <c r="N117" s="129"/>
      <c r="O117" s="129">
        <v>0</v>
      </c>
      <c r="P117" s="129">
        <f>ROUND(Source!EU101,O117)</f>
        <v>0</v>
      </c>
      <c r="Q117" s="129"/>
      <c r="R117" s="129"/>
      <c r="S117" s="129"/>
      <c r="T117" s="129"/>
      <c r="U117" s="129"/>
      <c r="V117" s="129"/>
      <c r="W117" s="129"/>
    </row>
    <row r="118" spans="1:23" x14ac:dyDescent="0.2">
      <c r="A118" s="129">
        <v>50</v>
      </c>
      <c r="B118" s="129">
        <v>0</v>
      </c>
      <c r="C118" s="129">
        <v>0</v>
      </c>
      <c r="D118" s="129">
        <v>1</v>
      </c>
      <c r="E118" s="129">
        <v>214</v>
      </c>
      <c r="F118" s="129">
        <f>ROUND(Source!AS101,O118)</f>
        <v>561361</v>
      </c>
      <c r="G118" s="129" t="s">
        <v>911</v>
      </c>
      <c r="H118" s="129" t="s">
        <v>912</v>
      </c>
      <c r="I118" s="129"/>
      <c r="J118" s="129"/>
      <c r="K118" s="129">
        <v>214</v>
      </c>
      <c r="L118" s="129">
        <v>16</v>
      </c>
      <c r="M118" s="129">
        <v>3</v>
      </c>
      <c r="N118" s="129"/>
      <c r="O118" s="129">
        <v>0</v>
      </c>
      <c r="P118" s="129">
        <f>ROUND(Source!EK101,O118)</f>
        <v>715031</v>
      </c>
      <c r="Q118" s="129"/>
      <c r="R118" s="129"/>
      <c r="S118" s="129"/>
      <c r="T118" s="129"/>
      <c r="U118" s="129"/>
      <c r="V118" s="129"/>
      <c r="W118" s="129"/>
    </row>
    <row r="119" spans="1:23" x14ac:dyDescent="0.2">
      <c r="A119" s="129">
        <v>50</v>
      </c>
      <c r="B119" s="129">
        <v>0</v>
      </c>
      <c r="C119" s="129">
        <v>0</v>
      </c>
      <c r="D119" s="129">
        <v>1</v>
      </c>
      <c r="E119" s="129">
        <v>215</v>
      </c>
      <c r="F119" s="129">
        <f>ROUND(Source!AT101,O119)</f>
        <v>0</v>
      </c>
      <c r="G119" s="129" t="s">
        <v>913</v>
      </c>
      <c r="H119" s="129" t="s">
        <v>914</v>
      </c>
      <c r="I119" s="129"/>
      <c r="J119" s="129"/>
      <c r="K119" s="129">
        <v>215</v>
      </c>
      <c r="L119" s="129">
        <v>17</v>
      </c>
      <c r="M119" s="129">
        <v>3</v>
      </c>
      <c r="N119" s="129"/>
      <c r="O119" s="129">
        <v>0</v>
      </c>
      <c r="P119" s="129">
        <f>ROUND(Source!EL101,O119)</f>
        <v>0</v>
      </c>
      <c r="Q119" s="129"/>
      <c r="R119" s="129"/>
      <c r="S119" s="129"/>
      <c r="T119" s="129"/>
      <c r="U119" s="129"/>
      <c r="V119" s="129"/>
      <c r="W119" s="129"/>
    </row>
    <row r="120" spans="1:23" x14ac:dyDescent="0.2">
      <c r="A120" s="129">
        <v>50</v>
      </c>
      <c r="B120" s="129">
        <v>0</v>
      </c>
      <c r="C120" s="129">
        <v>0</v>
      </c>
      <c r="D120" s="129">
        <v>1</v>
      </c>
      <c r="E120" s="129">
        <v>217</v>
      </c>
      <c r="F120" s="129">
        <f>ROUND(Source!AU101,O120)</f>
        <v>0</v>
      </c>
      <c r="G120" s="129" t="s">
        <v>915</v>
      </c>
      <c r="H120" s="129" t="s">
        <v>916</v>
      </c>
      <c r="I120" s="129"/>
      <c r="J120" s="129"/>
      <c r="K120" s="129">
        <v>217</v>
      </c>
      <c r="L120" s="129">
        <v>18</v>
      </c>
      <c r="M120" s="129">
        <v>3</v>
      </c>
      <c r="N120" s="129"/>
      <c r="O120" s="129">
        <v>0</v>
      </c>
      <c r="P120" s="129">
        <f>ROUND(Source!EM101,O120)</f>
        <v>0</v>
      </c>
      <c r="Q120" s="129"/>
      <c r="R120" s="129"/>
      <c r="S120" s="129"/>
      <c r="T120" s="129"/>
      <c r="U120" s="129"/>
      <c r="V120" s="129"/>
      <c r="W120" s="129"/>
    </row>
    <row r="121" spans="1:23" x14ac:dyDescent="0.2">
      <c r="A121" s="129">
        <v>50</v>
      </c>
      <c r="B121" s="129">
        <v>0</v>
      </c>
      <c r="C121" s="129">
        <v>0</v>
      </c>
      <c r="D121" s="129">
        <v>1</v>
      </c>
      <c r="E121" s="129">
        <v>230</v>
      </c>
      <c r="F121" s="129">
        <f>ROUND(Source!BA101,O121)</f>
        <v>0</v>
      </c>
      <c r="G121" s="129" t="s">
        <v>917</v>
      </c>
      <c r="H121" s="129" t="s">
        <v>918</v>
      </c>
      <c r="I121" s="129"/>
      <c r="J121" s="129"/>
      <c r="K121" s="129">
        <v>230</v>
      </c>
      <c r="L121" s="129">
        <v>19</v>
      </c>
      <c r="M121" s="129">
        <v>3</v>
      </c>
      <c r="N121" s="129"/>
      <c r="O121" s="129">
        <v>0</v>
      </c>
      <c r="P121" s="129">
        <f>ROUND(Source!ES101,O121)</f>
        <v>0</v>
      </c>
      <c r="Q121" s="129"/>
      <c r="R121" s="129"/>
      <c r="S121" s="129"/>
      <c r="T121" s="129"/>
      <c r="U121" s="129"/>
      <c r="V121" s="129"/>
      <c r="W121" s="129"/>
    </row>
    <row r="122" spans="1:23" x14ac:dyDescent="0.2">
      <c r="A122" s="129">
        <v>50</v>
      </c>
      <c r="B122" s="129">
        <v>0</v>
      </c>
      <c r="C122" s="129">
        <v>0</v>
      </c>
      <c r="D122" s="129">
        <v>1</v>
      </c>
      <c r="E122" s="129">
        <v>206</v>
      </c>
      <c r="F122" s="129">
        <f>ROUND(Source!T101,O122)</f>
        <v>0</v>
      </c>
      <c r="G122" s="129" t="s">
        <v>919</v>
      </c>
      <c r="H122" s="129" t="s">
        <v>920</v>
      </c>
      <c r="I122" s="129"/>
      <c r="J122" s="129"/>
      <c r="K122" s="129">
        <v>206</v>
      </c>
      <c r="L122" s="129">
        <v>20</v>
      </c>
      <c r="M122" s="129">
        <v>3</v>
      </c>
      <c r="N122" s="129"/>
      <c r="O122" s="129">
        <v>0</v>
      </c>
      <c r="P122" s="129">
        <f>ROUND(Source!DL101,O122)</f>
        <v>0</v>
      </c>
      <c r="Q122" s="129"/>
      <c r="R122" s="129"/>
      <c r="S122" s="129"/>
      <c r="T122" s="129"/>
      <c r="U122" s="129"/>
      <c r="V122" s="129"/>
      <c r="W122" s="129"/>
    </row>
    <row r="123" spans="1:23" x14ac:dyDescent="0.2">
      <c r="A123" s="129">
        <v>50</v>
      </c>
      <c r="B123" s="129">
        <v>0</v>
      </c>
      <c r="C123" s="129">
        <v>0</v>
      </c>
      <c r="D123" s="129">
        <v>1</v>
      </c>
      <c r="E123" s="129">
        <v>207</v>
      </c>
      <c r="F123" s="129">
        <f>Source!U101</f>
        <v>605.78742554999985</v>
      </c>
      <c r="G123" s="129" t="s">
        <v>921</v>
      </c>
      <c r="H123" s="129" t="s">
        <v>922</v>
      </c>
      <c r="I123" s="129"/>
      <c r="J123" s="129"/>
      <c r="K123" s="129">
        <v>207</v>
      </c>
      <c r="L123" s="129">
        <v>21</v>
      </c>
      <c r="M123" s="129">
        <v>3</v>
      </c>
      <c r="N123" s="129"/>
      <c r="O123" s="129">
        <v>-1</v>
      </c>
      <c r="P123" s="129">
        <f>Source!DM101</f>
        <v>605.78742554999985</v>
      </c>
      <c r="Q123" s="129"/>
      <c r="R123" s="129"/>
      <c r="S123" s="129"/>
      <c r="T123" s="129"/>
      <c r="U123" s="129"/>
      <c r="V123" s="129"/>
      <c r="W123" s="129"/>
    </row>
    <row r="124" spans="1:23" x14ac:dyDescent="0.2">
      <c r="A124" s="129">
        <v>50</v>
      </c>
      <c r="B124" s="129">
        <v>0</v>
      </c>
      <c r="C124" s="129">
        <v>0</v>
      </c>
      <c r="D124" s="129">
        <v>1</v>
      </c>
      <c r="E124" s="129">
        <v>208</v>
      </c>
      <c r="F124" s="129">
        <f>Source!V101</f>
        <v>3.7164324999999998</v>
      </c>
      <c r="G124" s="129" t="s">
        <v>923</v>
      </c>
      <c r="H124" s="129" t="s">
        <v>924</v>
      </c>
      <c r="I124" s="129"/>
      <c r="J124" s="129"/>
      <c r="K124" s="129">
        <v>208</v>
      </c>
      <c r="L124" s="129">
        <v>22</v>
      </c>
      <c r="M124" s="129">
        <v>3</v>
      </c>
      <c r="N124" s="129"/>
      <c r="O124" s="129">
        <v>-1</v>
      </c>
      <c r="P124" s="129">
        <f>Source!DN101</f>
        <v>3.7164324999999998</v>
      </c>
      <c r="Q124" s="129"/>
      <c r="R124" s="129"/>
      <c r="S124" s="129"/>
      <c r="T124" s="129"/>
      <c r="U124" s="129"/>
      <c r="V124" s="129"/>
      <c r="W124" s="129"/>
    </row>
    <row r="125" spans="1:23" x14ac:dyDescent="0.2">
      <c r="A125" s="129">
        <v>50</v>
      </c>
      <c r="B125" s="129">
        <v>0</v>
      </c>
      <c r="C125" s="129">
        <v>0</v>
      </c>
      <c r="D125" s="129">
        <v>1</v>
      </c>
      <c r="E125" s="129">
        <v>209</v>
      </c>
      <c r="F125" s="129">
        <f>ROUND(Source!W101,O125)</f>
        <v>0</v>
      </c>
      <c r="G125" s="129" t="s">
        <v>925</v>
      </c>
      <c r="H125" s="129" t="s">
        <v>926</v>
      </c>
      <c r="I125" s="129"/>
      <c r="J125" s="129"/>
      <c r="K125" s="129">
        <v>209</v>
      </c>
      <c r="L125" s="129">
        <v>23</v>
      </c>
      <c r="M125" s="129">
        <v>3</v>
      </c>
      <c r="N125" s="129"/>
      <c r="O125" s="129">
        <v>0</v>
      </c>
      <c r="P125" s="129">
        <f>ROUND(Source!DO101,O125)</f>
        <v>0</v>
      </c>
      <c r="Q125" s="129"/>
      <c r="R125" s="129"/>
      <c r="S125" s="129"/>
      <c r="T125" s="129"/>
      <c r="U125" s="129"/>
      <c r="V125" s="129"/>
      <c r="W125" s="129"/>
    </row>
    <row r="126" spans="1:23" x14ac:dyDescent="0.2">
      <c r="A126" s="129">
        <v>50</v>
      </c>
      <c r="B126" s="129">
        <v>0</v>
      </c>
      <c r="C126" s="129">
        <v>0</v>
      </c>
      <c r="D126" s="129">
        <v>1</v>
      </c>
      <c r="E126" s="129">
        <v>233</v>
      </c>
      <c r="F126" s="129">
        <f>ROUND(Source!BD101,O126)</f>
        <v>5548</v>
      </c>
      <c r="G126" s="129" t="s">
        <v>927</v>
      </c>
      <c r="H126" s="129" t="s">
        <v>132</v>
      </c>
      <c r="I126" s="129"/>
      <c r="J126" s="129"/>
      <c r="K126" s="129">
        <v>233</v>
      </c>
      <c r="L126" s="129">
        <v>24</v>
      </c>
      <c r="M126" s="129">
        <v>3</v>
      </c>
      <c r="N126" s="129"/>
      <c r="O126" s="129">
        <v>0</v>
      </c>
      <c r="P126" s="129">
        <f>ROUND(Source!EV101,O126)</f>
        <v>8793</v>
      </c>
      <c r="Q126" s="129"/>
      <c r="R126" s="129"/>
      <c r="S126" s="129"/>
      <c r="T126" s="129"/>
      <c r="U126" s="129"/>
      <c r="V126" s="129"/>
      <c r="W126" s="129"/>
    </row>
    <row r="127" spans="1:23" x14ac:dyDescent="0.2">
      <c r="A127" s="129">
        <v>50</v>
      </c>
      <c r="B127" s="129">
        <v>0</v>
      </c>
      <c r="C127" s="129">
        <v>0</v>
      </c>
      <c r="D127" s="129">
        <v>1</v>
      </c>
      <c r="E127" s="129">
        <v>0</v>
      </c>
      <c r="F127" s="129">
        <f>ROUND(Source!X101,O127)</f>
        <v>60110</v>
      </c>
      <c r="G127" s="129" t="s">
        <v>130</v>
      </c>
      <c r="H127" s="129" t="s">
        <v>928</v>
      </c>
      <c r="I127" s="129"/>
      <c r="J127" s="129"/>
      <c r="K127" s="129">
        <v>210</v>
      </c>
      <c r="L127" s="129">
        <v>25</v>
      </c>
      <c r="M127" s="129">
        <v>3</v>
      </c>
      <c r="N127" s="129"/>
      <c r="O127" s="129">
        <v>0</v>
      </c>
      <c r="P127" s="129">
        <f>ROUND(Source!DP101,O127)</f>
        <v>91605</v>
      </c>
      <c r="Q127" s="129"/>
      <c r="R127" s="129"/>
      <c r="S127" s="129"/>
      <c r="T127" s="129"/>
      <c r="U127" s="129"/>
      <c r="V127" s="129"/>
      <c r="W127" s="129"/>
    </row>
    <row r="128" spans="1:23" x14ac:dyDescent="0.2">
      <c r="A128" s="129">
        <v>50</v>
      </c>
      <c r="B128" s="129">
        <v>0</v>
      </c>
      <c r="C128" s="129">
        <v>0</v>
      </c>
      <c r="D128" s="129">
        <v>1</v>
      </c>
      <c r="E128" s="129">
        <v>0</v>
      </c>
      <c r="F128" s="129">
        <f>ROUND(Source!Y101,O128)</f>
        <v>30563</v>
      </c>
      <c r="G128" s="129" t="s">
        <v>929</v>
      </c>
      <c r="H128" s="129" t="s">
        <v>930</v>
      </c>
      <c r="I128" s="129"/>
      <c r="J128" s="129"/>
      <c r="K128" s="129">
        <v>211</v>
      </c>
      <c r="L128" s="129">
        <v>26</v>
      </c>
      <c r="M128" s="129">
        <v>3</v>
      </c>
      <c r="N128" s="129"/>
      <c r="O128" s="129">
        <v>0</v>
      </c>
      <c r="P128" s="129">
        <f>ROUND(Source!DQ101,O128)</f>
        <v>52087</v>
      </c>
      <c r="Q128" s="129"/>
      <c r="R128" s="129"/>
      <c r="S128" s="129"/>
      <c r="T128" s="129"/>
      <c r="U128" s="129"/>
      <c r="V128" s="129"/>
      <c r="W128" s="129"/>
    </row>
    <row r="129" spans="1:23" x14ac:dyDescent="0.2">
      <c r="A129" s="129">
        <v>50</v>
      </c>
      <c r="B129" s="129">
        <v>0</v>
      </c>
      <c r="C129" s="129">
        <v>0</v>
      </c>
      <c r="D129" s="129">
        <v>1</v>
      </c>
      <c r="E129" s="129">
        <v>224</v>
      </c>
      <c r="F129" s="129">
        <f>ROUND(Source!AR101,O129)</f>
        <v>561361</v>
      </c>
      <c r="G129" s="129" t="s">
        <v>79</v>
      </c>
      <c r="H129" s="129" t="s">
        <v>931</v>
      </c>
      <c r="I129" s="129"/>
      <c r="J129" s="129"/>
      <c r="K129" s="129">
        <v>224</v>
      </c>
      <c r="L129" s="129">
        <v>27</v>
      </c>
      <c r="M129" s="129">
        <v>3</v>
      </c>
      <c r="N129" s="129"/>
      <c r="O129" s="129">
        <v>0</v>
      </c>
      <c r="P129" s="129">
        <f>ROUND(Source!EJ101,O129)</f>
        <v>715031</v>
      </c>
      <c r="Q129" s="129"/>
      <c r="R129" s="129"/>
      <c r="S129" s="129"/>
      <c r="T129" s="129"/>
      <c r="U129" s="129"/>
      <c r="V129" s="129"/>
      <c r="W129" s="129"/>
    </row>
    <row r="130" spans="1:23" x14ac:dyDescent="0.2">
      <c r="A130" s="129">
        <v>50</v>
      </c>
      <c r="B130" s="129">
        <v>1</v>
      </c>
      <c r="C130" s="129">
        <v>0</v>
      </c>
      <c r="D130" s="129">
        <v>2</v>
      </c>
      <c r="E130" s="129">
        <v>205</v>
      </c>
      <c r="F130" s="129">
        <f>ROUND(F116,O130)</f>
        <v>61698</v>
      </c>
      <c r="G130" s="129" t="s">
        <v>87</v>
      </c>
      <c r="H130" s="129" t="s">
        <v>127</v>
      </c>
      <c r="I130" s="129"/>
      <c r="J130" s="129"/>
      <c r="K130" s="129">
        <v>212</v>
      </c>
      <c r="L130" s="129">
        <v>28</v>
      </c>
      <c r="M130" s="129">
        <v>0</v>
      </c>
      <c r="N130" s="129"/>
      <c r="O130" s="129">
        <v>0</v>
      </c>
      <c r="P130" s="129">
        <f>ROUND(P116,O130)</f>
        <v>97204</v>
      </c>
      <c r="Q130" s="129"/>
      <c r="R130" s="129"/>
      <c r="S130" s="129"/>
      <c r="T130" s="129"/>
      <c r="U130" s="129"/>
      <c r="V130" s="129"/>
      <c r="W130" s="129"/>
    </row>
    <row r="131" spans="1:23" x14ac:dyDescent="0.2">
      <c r="A131" s="129">
        <v>50</v>
      </c>
      <c r="B131" s="129">
        <v>1</v>
      </c>
      <c r="C131" s="129">
        <v>0</v>
      </c>
      <c r="D131" s="129">
        <v>2</v>
      </c>
      <c r="E131" s="129">
        <v>203</v>
      </c>
      <c r="F131" s="129">
        <f>ROUND(F113,O131)</f>
        <v>8101</v>
      </c>
      <c r="G131" s="129" t="s">
        <v>96</v>
      </c>
      <c r="H131" s="129" t="s">
        <v>128</v>
      </c>
      <c r="I131" s="129"/>
      <c r="J131" s="129"/>
      <c r="K131" s="129">
        <v>212</v>
      </c>
      <c r="L131" s="129">
        <v>29</v>
      </c>
      <c r="M131" s="129">
        <v>0</v>
      </c>
      <c r="N131" s="129"/>
      <c r="O131" s="129">
        <v>0</v>
      </c>
      <c r="P131" s="129">
        <f>ROUND(P113,O131)</f>
        <v>12201</v>
      </c>
      <c r="Q131" s="129"/>
      <c r="R131" s="129"/>
      <c r="S131" s="129"/>
      <c r="T131" s="129"/>
      <c r="U131" s="129"/>
      <c r="V131" s="129"/>
      <c r="W131" s="129"/>
    </row>
    <row r="132" spans="1:23" x14ac:dyDescent="0.2">
      <c r="A132" s="129">
        <v>50</v>
      </c>
      <c r="B132" s="129">
        <v>1</v>
      </c>
      <c r="C132" s="129">
        <v>0</v>
      </c>
      <c r="D132" s="129">
        <v>2</v>
      </c>
      <c r="E132" s="129">
        <v>202</v>
      </c>
      <c r="F132" s="129">
        <f>ROUND(F104,O132)</f>
        <v>400889</v>
      </c>
      <c r="G132" s="129" t="s">
        <v>100</v>
      </c>
      <c r="H132" s="129" t="s">
        <v>932</v>
      </c>
      <c r="I132" s="129"/>
      <c r="J132" s="129"/>
      <c r="K132" s="129">
        <v>212</v>
      </c>
      <c r="L132" s="129">
        <v>30</v>
      </c>
      <c r="M132" s="129">
        <v>0</v>
      </c>
      <c r="N132" s="129"/>
      <c r="O132" s="129">
        <v>0</v>
      </c>
      <c r="P132" s="129">
        <f>ROUND(P104,O132)</f>
        <v>461934</v>
      </c>
      <c r="Q132" s="129"/>
      <c r="R132" s="129"/>
      <c r="S132" s="129"/>
      <c r="T132" s="129"/>
      <c r="U132" s="129"/>
      <c r="V132" s="129"/>
      <c r="W132" s="129"/>
    </row>
    <row r="133" spans="1:23" x14ac:dyDescent="0.2">
      <c r="A133" s="129">
        <v>50</v>
      </c>
      <c r="B133" s="129">
        <v>1</v>
      </c>
      <c r="C133" s="129">
        <v>0</v>
      </c>
      <c r="D133" s="129">
        <v>2</v>
      </c>
      <c r="E133" s="129">
        <v>210</v>
      </c>
      <c r="F133" s="129">
        <f>ROUND(F127,O133)</f>
        <v>60110</v>
      </c>
      <c r="G133" s="129" t="s">
        <v>105</v>
      </c>
      <c r="H133" s="129" t="s">
        <v>130</v>
      </c>
      <c r="I133" s="129"/>
      <c r="J133" s="129"/>
      <c r="K133" s="129">
        <v>212</v>
      </c>
      <c r="L133" s="129">
        <v>31</v>
      </c>
      <c r="M133" s="129">
        <v>0</v>
      </c>
      <c r="N133" s="129"/>
      <c r="O133" s="129">
        <v>0</v>
      </c>
      <c r="P133" s="129">
        <f>ROUND(P127,O133)</f>
        <v>91605</v>
      </c>
      <c r="Q133" s="129"/>
      <c r="R133" s="129"/>
      <c r="S133" s="129"/>
      <c r="T133" s="129"/>
      <c r="U133" s="129"/>
      <c r="V133" s="129"/>
      <c r="W133" s="129"/>
    </row>
    <row r="134" spans="1:23" x14ac:dyDescent="0.2">
      <c r="A134" s="129">
        <v>50</v>
      </c>
      <c r="B134" s="129">
        <v>1</v>
      </c>
      <c r="C134" s="129">
        <v>0</v>
      </c>
      <c r="D134" s="129">
        <v>2</v>
      </c>
      <c r="E134" s="129">
        <v>211</v>
      </c>
      <c r="F134" s="129">
        <f>ROUND(F128,O134)</f>
        <v>30563</v>
      </c>
      <c r="G134" s="129" t="s">
        <v>106</v>
      </c>
      <c r="H134" s="129" t="s">
        <v>131</v>
      </c>
      <c r="I134" s="129"/>
      <c r="J134" s="129"/>
      <c r="K134" s="129">
        <v>212</v>
      </c>
      <c r="L134" s="129">
        <v>32</v>
      </c>
      <c r="M134" s="129">
        <v>0</v>
      </c>
      <c r="N134" s="129"/>
      <c r="O134" s="129">
        <v>0</v>
      </c>
      <c r="P134" s="129">
        <f>ROUND(P128,O134)</f>
        <v>52087</v>
      </c>
      <c r="Q134" s="129"/>
      <c r="R134" s="129"/>
      <c r="S134" s="129"/>
      <c r="T134" s="129"/>
      <c r="U134" s="129"/>
      <c r="V134" s="129"/>
      <c r="W134" s="129"/>
    </row>
    <row r="135" spans="1:23" x14ac:dyDescent="0.2">
      <c r="A135" s="129">
        <v>50</v>
      </c>
      <c r="B135" s="129">
        <v>1</v>
      </c>
      <c r="C135" s="129">
        <v>0</v>
      </c>
      <c r="D135" s="129">
        <v>2</v>
      </c>
      <c r="E135" s="129">
        <v>213</v>
      </c>
      <c r="F135" s="129">
        <f>ROUND(F130+F131+F132+F133+F134,O135)</f>
        <v>561361</v>
      </c>
      <c r="G135" s="129" t="s">
        <v>112</v>
      </c>
      <c r="H135" s="129" t="s">
        <v>134</v>
      </c>
      <c r="I135" s="129"/>
      <c r="J135" s="129"/>
      <c r="K135" s="129">
        <v>212</v>
      </c>
      <c r="L135" s="129">
        <v>33</v>
      </c>
      <c r="M135" s="129">
        <v>0</v>
      </c>
      <c r="N135" s="129"/>
      <c r="O135" s="129">
        <v>0</v>
      </c>
      <c r="P135" s="129">
        <f>ROUND(P130+P131+P132+P133+P134,O135)</f>
        <v>715031</v>
      </c>
      <c r="Q135" s="129"/>
      <c r="R135" s="129"/>
      <c r="S135" s="129"/>
      <c r="T135" s="129"/>
      <c r="U135" s="129"/>
      <c r="V135" s="129"/>
      <c r="W135" s="129"/>
    </row>
    <row r="138" spans="1:23" x14ac:dyDescent="0.2">
      <c r="A138">
        <v>70</v>
      </c>
      <c r="B138">
        <v>1</v>
      </c>
      <c r="D138">
        <v>1</v>
      </c>
      <c r="E138" t="s">
        <v>933</v>
      </c>
      <c r="F138" t="s">
        <v>934</v>
      </c>
      <c r="G138">
        <v>0</v>
      </c>
      <c r="H138">
        <v>0</v>
      </c>
      <c r="J138">
        <v>1</v>
      </c>
      <c r="K138">
        <v>0</v>
      </c>
      <c r="N138">
        <v>0</v>
      </c>
      <c r="O138">
        <v>0</v>
      </c>
    </row>
    <row r="139" spans="1:23" x14ac:dyDescent="0.2">
      <c r="A139">
        <v>70</v>
      </c>
      <c r="B139">
        <v>1</v>
      </c>
      <c r="D139">
        <v>2</v>
      </c>
      <c r="E139" t="s">
        <v>935</v>
      </c>
      <c r="F139" t="s">
        <v>936</v>
      </c>
      <c r="G139">
        <v>1</v>
      </c>
      <c r="H139">
        <v>0</v>
      </c>
      <c r="J139">
        <v>1</v>
      </c>
      <c r="K139">
        <v>0</v>
      </c>
      <c r="N139">
        <v>0</v>
      </c>
      <c r="O139">
        <v>1</v>
      </c>
    </row>
    <row r="140" spans="1:23" x14ac:dyDescent="0.2">
      <c r="A140">
        <v>70</v>
      </c>
      <c r="B140">
        <v>1</v>
      </c>
      <c r="D140">
        <v>3</v>
      </c>
      <c r="E140" t="s">
        <v>937</v>
      </c>
      <c r="F140" t="s">
        <v>938</v>
      </c>
      <c r="G140">
        <v>0</v>
      </c>
      <c r="H140">
        <v>0</v>
      </c>
      <c r="J140">
        <v>1</v>
      </c>
      <c r="K140">
        <v>0</v>
      </c>
      <c r="N140">
        <v>0</v>
      </c>
      <c r="O140">
        <v>0</v>
      </c>
    </row>
    <row r="141" spans="1:23" x14ac:dyDescent="0.2">
      <c r="A141">
        <v>70</v>
      </c>
      <c r="B141">
        <v>1</v>
      </c>
      <c r="D141">
        <v>4</v>
      </c>
      <c r="E141" t="s">
        <v>939</v>
      </c>
      <c r="F141" t="s">
        <v>940</v>
      </c>
      <c r="G141">
        <v>0</v>
      </c>
      <c r="H141">
        <v>0</v>
      </c>
      <c r="I141" t="s">
        <v>941</v>
      </c>
      <c r="J141">
        <v>0</v>
      </c>
      <c r="K141">
        <v>0</v>
      </c>
      <c r="N141">
        <v>0</v>
      </c>
      <c r="O141">
        <v>0</v>
      </c>
    </row>
    <row r="142" spans="1:23" x14ac:dyDescent="0.2">
      <c r="A142">
        <v>70</v>
      </c>
      <c r="B142">
        <v>1</v>
      </c>
      <c r="D142">
        <v>5</v>
      </c>
      <c r="E142" t="s">
        <v>942</v>
      </c>
      <c r="F142" t="s">
        <v>943</v>
      </c>
      <c r="G142">
        <v>0</v>
      </c>
      <c r="H142">
        <v>0</v>
      </c>
      <c r="I142" t="s">
        <v>944</v>
      </c>
      <c r="J142">
        <v>0</v>
      </c>
      <c r="K142">
        <v>0</v>
      </c>
      <c r="N142">
        <v>0</v>
      </c>
      <c r="O142">
        <v>0</v>
      </c>
    </row>
    <row r="143" spans="1:23" x14ac:dyDescent="0.2">
      <c r="A143">
        <v>70</v>
      </c>
      <c r="B143">
        <v>1</v>
      </c>
      <c r="D143">
        <v>6</v>
      </c>
      <c r="E143" t="s">
        <v>945</v>
      </c>
      <c r="F143" t="s">
        <v>946</v>
      </c>
      <c r="G143">
        <v>0</v>
      </c>
      <c r="H143">
        <v>0</v>
      </c>
      <c r="I143" t="s">
        <v>947</v>
      </c>
      <c r="J143">
        <v>0</v>
      </c>
      <c r="K143">
        <v>0</v>
      </c>
      <c r="N143">
        <v>0</v>
      </c>
      <c r="O143">
        <v>0</v>
      </c>
    </row>
    <row r="144" spans="1:23" x14ac:dyDescent="0.2">
      <c r="A144">
        <v>70</v>
      </c>
      <c r="B144">
        <v>1</v>
      </c>
      <c r="D144">
        <v>7</v>
      </c>
      <c r="E144" t="s">
        <v>948</v>
      </c>
      <c r="F144" t="s">
        <v>949</v>
      </c>
      <c r="G144">
        <v>1</v>
      </c>
      <c r="H144">
        <v>0</v>
      </c>
      <c r="J144">
        <v>0</v>
      </c>
      <c r="K144">
        <v>0</v>
      </c>
      <c r="N144">
        <v>0</v>
      </c>
      <c r="O144">
        <v>1</v>
      </c>
    </row>
    <row r="145" spans="1:15" x14ac:dyDescent="0.2">
      <c r="A145">
        <v>70</v>
      </c>
      <c r="B145">
        <v>1</v>
      </c>
      <c r="D145">
        <v>8</v>
      </c>
      <c r="E145" t="s">
        <v>950</v>
      </c>
      <c r="F145" t="s">
        <v>951</v>
      </c>
      <c r="G145">
        <v>0</v>
      </c>
      <c r="H145">
        <v>0</v>
      </c>
      <c r="I145" t="s">
        <v>952</v>
      </c>
      <c r="J145">
        <v>0</v>
      </c>
      <c r="K145">
        <v>0</v>
      </c>
      <c r="N145">
        <v>0</v>
      </c>
      <c r="O145">
        <v>0</v>
      </c>
    </row>
    <row r="146" spans="1:15" x14ac:dyDescent="0.2">
      <c r="A146">
        <v>70</v>
      </c>
      <c r="B146">
        <v>1</v>
      </c>
      <c r="D146">
        <v>9</v>
      </c>
      <c r="E146" t="s">
        <v>953</v>
      </c>
      <c r="F146" t="s">
        <v>954</v>
      </c>
      <c r="G146">
        <v>0</v>
      </c>
      <c r="H146">
        <v>0</v>
      </c>
      <c r="I146" t="s">
        <v>955</v>
      </c>
      <c r="J146">
        <v>0</v>
      </c>
      <c r="K146">
        <v>0</v>
      </c>
      <c r="N146">
        <v>0</v>
      </c>
      <c r="O146">
        <v>0</v>
      </c>
    </row>
    <row r="147" spans="1:15" x14ac:dyDescent="0.2">
      <c r="A147">
        <v>70</v>
      </c>
      <c r="B147">
        <v>1</v>
      </c>
      <c r="D147">
        <v>10</v>
      </c>
      <c r="E147" t="s">
        <v>956</v>
      </c>
      <c r="F147" t="s">
        <v>957</v>
      </c>
      <c r="G147">
        <v>0</v>
      </c>
      <c r="H147">
        <v>0</v>
      </c>
      <c r="I147" t="s">
        <v>958</v>
      </c>
      <c r="J147">
        <v>0</v>
      </c>
      <c r="K147">
        <v>0</v>
      </c>
      <c r="N147">
        <v>0</v>
      </c>
      <c r="O147">
        <v>0</v>
      </c>
    </row>
    <row r="148" spans="1:15" x14ac:dyDescent="0.2">
      <c r="A148">
        <v>70</v>
      </c>
      <c r="B148">
        <v>1</v>
      </c>
      <c r="D148">
        <v>11</v>
      </c>
      <c r="E148" t="s">
        <v>959</v>
      </c>
      <c r="F148" t="s">
        <v>960</v>
      </c>
      <c r="G148">
        <v>0</v>
      </c>
      <c r="H148">
        <v>0</v>
      </c>
      <c r="I148" t="s">
        <v>961</v>
      </c>
      <c r="J148">
        <v>0</v>
      </c>
      <c r="K148">
        <v>0</v>
      </c>
      <c r="N148">
        <v>0</v>
      </c>
      <c r="O148">
        <v>0</v>
      </c>
    </row>
    <row r="149" spans="1:15" x14ac:dyDescent="0.2">
      <c r="A149">
        <v>70</v>
      </c>
      <c r="B149">
        <v>1</v>
      </c>
      <c r="D149">
        <v>12</v>
      </c>
      <c r="E149" t="s">
        <v>962</v>
      </c>
      <c r="F149" t="s">
        <v>963</v>
      </c>
      <c r="G149">
        <v>0</v>
      </c>
      <c r="H149">
        <v>0</v>
      </c>
      <c r="J149">
        <v>0</v>
      </c>
      <c r="K149">
        <v>0</v>
      </c>
      <c r="N149">
        <v>0</v>
      </c>
      <c r="O149">
        <v>0</v>
      </c>
    </row>
    <row r="150" spans="1:15" x14ac:dyDescent="0.2">
      <c r="A150">
        <v>70</v>
      </c>
      <c r="B150">
        <v>1</v>
      </c>
      <c r="D150">
        <v>1</v>
      </c>
      <c r="E150" t="s">
        <v>964</v>
      </c>
      <c r="F150" t="s">
        <v>965</v>
      </c>
      <c r="G150">
        <v>0.9</v>
      </c>
      <c r="H150">
        <v>1</v>
      </c>
      <c r="I150" t="s">
        <v>966</v>
      </c>
      <c r="J150">
        <v>0</v>
      </c>
      <c r="K150">
        <v>0</v>
      </c>
      <c r="N150">
        <v>0</v>
      </c>
      <c r="O150">
        <v>0.9</v>
      </c>
    </row>
    <row r="151" spans="1:15" x14ac:dyDescent="0.2">
      <c r="A151">
        <v>70</v>
      </c>
      <c r="B151">
        <v>1</v>
      </c>
      <c r="D151">
        <v>2</v>
      </c>
      <c r="E151" t="s">
        <v>967</v>
      </c>
      <c r="F151" t="s">
        <v>968</v>
      </c>
      <c r="G151">
        <v>0.85</v>
      </c>
      <c r="H151">
        <v>1</v>
      </c>
      <c r="I151" t="s">
        <v>969</v>
      </c>
      <c r="J151">
        <v>0</v>
      </c>
      <c r="K151">
        <v>0</v>
      </c>
      <c r="N151">
        <v>0</v>
      </c>
      <c r="O151">
        <v>0.85</v>
      </c>
    </row>
    <row r="152" spans="1:15" x14ac:dyDescent="0.2">
      <c r="A152">
        <v>70</v>
      </c>
      <c r="B152">
        <v>1</v>
      </c>
      <c r="D152">
        <v>3</v>
      </c>
      <c r="E152" t="s">
        <v>970</v>
      </c>
      <c r="F152" t="s">
        <v>971</v>
      </c>
      <c r="G152">
        <v>1</v>
      </c>
      <c r="H152">
        <v>0.85</v>
      </c>
      <c r="I152" t="s">
        <v>972</v>
      </c>
      <c r="J152">
        <v>0</v>
      </c>
      <c r="K152">
        <v>0</v>
      </c>
      <c r="N152">
        <v>0</v>
      </c>
      <c r="O152">
        <v>1</v>
      </c>
    </row>
    <row r="153" spans="1:15" x14ac:dyDescent="0.2">
      <c r="A153">
        <v>70</v>
      </c>
      <c r="B153">
        <v>1</v>
      </c>
      <c r="D153">
        <v>4</v>
      </c>
      <c r="E153" t="s">
        <v>973</v>
      </c>
      <c r="F153" t="s">
        <v>974</v>
      </c>
      <c r="G153">
        <v>1</v>
      </c>
      <c r="H153">
        <v>0</v>
      </c>
      <c r="J153">
        <v>0</v>
      </c>
      <c r="K153">
        <v>0</v>
      </c>
      <c r="N153">
        <v>0</v>
      </c>
      <c r="O153">
        <v>1</v>
      </c>
    </row>
    <row r="154" spans="1:15" x14ac:dyDescent="0.2">
      <c r="A154">
        <v>70</v>
      </c>
      <c r="B154">
        <v>1</v>
      </c>
      <c r="D154">
        <v>5</v>
      </c>
      <c r="E154" t="s">
        <v>975</v>
      </c>
      <c r="F154" t="s">
        <v>976</v>
      </c>
      <c r="G154">
        <v>1</v>
      </c>
      <c r="H154">
        <v>0.8</v>
      </c>
      <c r="I154" t="s">
        <v>977</v>
      </c>
      <c r="J154">
        <v>0</v>
      </c>
      <c r="K154">
        <v>0</v>
      </c>
      <c r="N154">
        <v>0</v>
      </c>
      <c r="O154">
        <v>1</v>
      </c>
    </row>
    <row r="155" spans="1:15" x14ac:dyDescent="0.2">
      <c r="A155">
        <v>70</v>
      </c>
      <c r="B155">
        <v>1</v>
      </c>
      <c r="D155">
        <v>6</v>
      </c>
      <c r="E155" t="s">
        <v>978</v>
      </c>
      <c r="F155" t="s">
        <v>979</v>
      </c>
      <c r="G155">
        <v>1</v>
      </c>
      <c r="H155">
        <v>0</v>
      </c>
      <c r="J155">
        <v>0</v>
      </c>
      <c r="K155">
        <v>0</v>
      </c>
      <c r="N155">
        <v>0</v>
      </c>
      <c r="O155">
        <v>0.85</v>
      </c>
    </row>
    <row r="156" spans="1:15" x14ac:dyDescent="0.2">
      <c r="A156">
        <v>70</v>
      </c>
      <c r="B156">
        <v>1</v>
      </c>
      <c r="D156">
        <v>7</v>
      </c>
      <c r="E156" t="s">
        <v>980</v>
      </c>
      <c r="F156" t="s">
        <v>981</v>
      </c>
      <c r="G156">
        <v>1</v>
      </c>
      <c r="H156">
        <v>0</v>
      </c>
      <c r="J156">
        <v>0</v>
      </c>
      <c r="K156">
        <v>0</v>
      </c>
      <c r="N156">
        <v>0</v>
      </c>
      <c r="O156">
        <v>0.8</v>
      </c>
    </row>
    <row r="157" spans="1:15" x14ac:dyDescent="0.2">
      <c r="A157">
        <v>70</v>
      </c>
      <c r="B157">
        <v>1</v>
      </c>
      <c r="D157">
        <v>8</v>
      </c>
      <c r="E157" t="s">
        <v>982</v>
      </c>
      <c r="F157" t="s">
        <v>983</v>
      </c>
      <c r="G157">
        <v>0.7</v>
      </c>
      <c r="H157">
        <v>0</v>
      </c>
      <c r="J157">
        <v>0</v>
      </c>
      <c r="K157">
        <v>0</v>
      </c>
      <c r="N157">
        <v>0</v>
      </c>
      <c r="O157">
        <v>0.7</v>
      </c>
    </row>
    <row r="158" spans="1:15" x14ac:dyDescent="0.2">
      <c r="A158">
        <v>70</v>
      </c>
      <c r="B158">
        <v>1</v>
      </c>
      <c r="D158">
        <v>9</v>
      </c>
      <c r="E158" t="s">
        <v>984</v>
      </c>
      <c r="F158" t="s">
        <v>985</v>
      </c>
      <c r="G158">
        <v>0.9</v>
      </c>
      <c r="H158">
        <v>0</v>
      </c>
      <c r="J158">
        <v>0</v>
      </c>
      <c r="K158">
        <v>0</v>
      </c>
      <c r="N158">
        <v>0</v>
      </c>
      <c r="O158">
        <v>0.9</v>
      </c>
    </row>
    <row r="159" spans="1:15" x14ac:dyDescent="0.2">
      <c r="A159">
        <v>70</v>
      </c>
      <c r="B159">
        <v>1</v>
      </c>
      <c r="D159">
        <v>10</v>
      </c>
      <c r="E159" t="s">
        <v>986</v>
      </c>
      <c r="F159" t="s">
        <v>987</v>
      </c>
      <c r="G159">
        <v>0.6</v>
      </c>
      <c r="H159">
        <v>0</v>
      </c>
      <c r="J159">
        <v>0</v>
      </c>
      <c r="K159">
        <v>0</v>
      </c>
      <c r="N159">
        <v>0</v>
      </c>
      <c r="O159">
        <v>0.6</v>
      </c>
    </row>
    <row r="160" spans="1:15" x14ac:dyDescent="0.2">
      <c r="A160">
        <v>70</v>
      </c>
      <c r="B160">
        <v>1</v>
      </c>
      <c r="D160">
        <v>11</v>
      </c>
      <c r="E160" t="s">
        <v>988</v>
      </c>
      <c r="F160" t="s">
        <v>989</v>
      </c>
      <c r="G160">
        <v>1.2</v>
      </c>
      <c r="H160">
        <v>0</v>
      </c>
      <c r="J160">
        <v>0</v>
      </c>
      <c r="K160">
        <v>0</v>
      </c>
      <c r="N160">
        <v>0</v>
      </c>
      <c r="O160">
        <v>1.2</v>
      </c>
    </row>
    <row r="161" spans="1:15" x14ac:dyDescent="0.2">
      <c r="A161">
        <v>70</v>
      </c>
      <c r="B161">
        <v>1</v>
      </c>
      <c r="D161">
        <v>12</v>
      </c>
      <c r="E161" t="s">
        <v>990</v>
      </c>
      <c r="F161" t="s">
        <v>991</v>
      </c>
      <c r="G161">
        <v>0</v>
      </c>
      <c r="H161">
        <v>0</v>
      </c>
      <c r="J161">
        <v>0</v>
      </c>
      <c r="K161">
        <v>0</v>
      </c>
      <c r="N161">
        <v>0</v>
      </c>
      <c r="O161">
        <v>0</v>
      </c>
    </row>
    <row r="162" spans="1:15" x14ac:dyDescent="0.2">
      <c r="A162">
        <v>70</v>
      </c>
      <c r="B162">
        <v>1</v>
      </c>
      <c r="D162">
        <v>13</v>
      </c>
      <c r="E162" t="s">
        <v>992</v>
      </c>
      <c r="F162" t="s">
        <v>993</v>
      </c>
      <c r="G162">
        <v>1</v>
      </c>
      <c r="H162">
        <v>0</v>
      </c>
      <c r="J162">
        <v>0</v>
      </c>
      <c r="K162">
        <v>0</v>
      </c>
      <c r="N162">
        <v>0</v>
      </c>
      <c r="O162">
        <v>1</v>
      </c>
    </row>
    <row r="164" spans="1:15" x14ac:dyDescent="0.2">
      <c r="A164">
        <v>-1</v>
      </c>
    </row>
    <row r="166" spans="1:15" x14ac:dyDescent="0.2">
      <c r="A166" s="127">
        <v>75</v>
      </c>
      <c r="B166" s="127" t="s">
        <v>994</v>
      </c>
      <c r="C166" s="127">
        <v>2019</v>
      </c>
      <c r="D166" s="127">
        <v>0</v>
      </c>
      <c r="E166" s="127">
        <v>12</v>
      </c>
      <c r="F166" s="127"/>
      <c r="G166" s="127">
        <v>0</v>
      </c>
      <c r="H166" s="127">
        <v>1</v>
      </c>
      <c r="I166" s="127">
        <v>0</v>
      </c>
      <c r="J166" s="127">
        <v>3</v>
      </c>
      <c r="K166" s="127">
        <v>0</v>
      </c>
      <c r="L166" s="127">
        <v>0</v>
      </c>
      <c r="M166" s="127">
        <v>1</v>
      </c>
      <c r="N166" s="127">
        <v>51866571</v>
      </c>
      <c r="O166" s="127">
        <v>1</v>
      </c>
    </row>
    <row r="167" spans="1:15" x14ac:dyDescent="0.2">
      <c r="A167" s="130">
        <v>2</v>
      </c>
      <c r="B167" s="130" t="s">
        <v>995</v>
      </c>
      <c r="C167" s="130" t="s">
        <v>996</v>
      </c>
      <c r="D167" s="130">
        <v>0</v>
      </c>
      <c r="E167" s="130">
        <v>0</v>
      </c>
    </row>
    <row r="168" spans="1:15" x14ac:dyDescent="0.2">
      <c r="A168" s="127">
        <v>75</v>
      </c>
      <c r="B168" s="127" t="s">
        <v>997</v>
      </c>
      <c r="C168" s="127">
        <v>2000</v>
      </c>
      <c r="D168" s="127">
        <v>0</v>
      </c>
      <c r="E168" s="127">
        <v>1</v>
      </c>
      <c r="F168" s="127"/>
      <c r="G168" s="127">
        <v>0</v>
      </c>
      <c r="H168" s="127">
        <v>1</v>
      </c>
      <c r="I168" s="127">
        <v>0</v>
      </c>
      <c r="J168" s="127">
        <v>1</v>
      </c>
      <c r="K168" s="127">
        <v>0</v>
      </c>
      <c r="L168" s="127">
        <v>0</v>
      </c>
      <c r="M168" s="127">
        <v>0</v>
      </c>
      <c r="N168" s="127">
        <v>51866573</v>
      </c>
      <c r="O168" s="127">
        <v>2</v>
      </c>
    </row>
    <row r="172" spans="1:15" x14ac:dyDescent="0.2">
      <c r="A172">
        <v>65</v>
      </c>
      <c r="C172">
        <v>1</v>
      </c>
      <c r="D172">
        <v>0</v>
      </c>
      <c r="E172">
        <v>245</v>
      </c>
    </row>
  </sheetData>
  <printOptions gridLines="1"/>
  <pageMargins left="0.75" right="0.75" top="1" bottom="1" header="0.5" footer="0.5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C59"/>
  <sheetViews>
    <sheetView workbookViewId="0"/>
  </sheetViews>
  <sheetFormatPr defaultColWidth="9.140625" defaultRowHeight="12.75" x14ac:dyDescent="0.2"/>
  <sheetData>
    <row r="1" spans="1:133" x14ac:dyDescent="0.2">
      <c r="A1">
        <v>0</v>
      </c>
      <c r="B1" t="s">
        <v>61</v>
      </c>
      <c r="D1" t="s">
        <v>998</v>
      </c>
      <c r="F1">
        <v>0</v>
      </c>
      <c r="G1">
        <v>0</v>
      </c>
      <c r="H1">
        <v>0</v>
      </c>
      <c r="I1" t="s">
        <v>787</v>
      </c>
      <c r="K1">
        <v>1</v>
      </c>
      <c r="L1">
        <v>47231</v>
      </c>
      <c r="M1">
        <v>10</v>
      </c>
      <c r="N1">
        <v>11</v>
      </c>
      <c r="O1">
        <v>0</v>
      </c>
      <c r="P1">
        <v>0</v>
      </c>
      <c r="Q1">
        <v>6</v>
      </c>
    </row>
    <row r="12" spans="1:133" x14ac:dyDescent="0.2">
      <c r="A12" s="125">
        <v>1</v>
      </c>
      <c r="B12" s="125">
        <v>57</v>
      </c>
      <c r="C12" s="125">
        <v>0</v>
      </c>
      <c r="D12" s="125"/>
      <c r="E12" s="125">
        <v>0</v>
      </c>
      <c r="F12" s="125" t="s">
        <v>708</v>
      </c>
      <c r="G12" s="125" t="s">
        <v>788</v>
      </c>
      <c r="H12" s="125"/>
      <c r="I12" s="125">
        <v>0</v>
      </c>
      <c r="J12" s="125"/>
      <c r="K12" s="125">
        <v>0</v>
      </c>
      <c r="L12" s="125"/>
      <c r="M12" s="125"/>
      <c r="N12" s="125"/>
      <c r="O12" s="125">
        <v>0</v>
      </c>
      <c r="P12" s="125">
        <v>0</v>
      </c>
      <c r="Q12" s="125">
        <v>3</v>
      </c>
      <c r="R12" s="125">
        <v>0</v>
      </c>
      <c r="S12" s="125">
        <v>0</v>
      </c>
      <c r="T12" s="125"/>
      <c r="U12" s="125"/>
      <c r="V12" s="125">
        <v>0</v>
      </c>
      <c r="W12" s="125"/>
      <c r="X12" s="125" t="s">
        <v>321</v>
      </c>
      <c r="Y12" s="125"/>
      <c r="Z12" s="125"/>
      <c r="AA12" s="125"/>
      <c r="AB12" s="125" t="s">
        <v>317</v>
      </c>
      <c r="AC12" s="125" t="s">
        <v>316</v>
      </c>
      <c r="AD12" s="125" t="s">
        <v>321</v>
      </c>
      <c r="AE12" s="125" t="s">
        <v>320</v>
      </c>
      <c r="AF12" s="125"/>
      <c r="AG12" s="125"/>
      <c r="AH12" s="125" t="s">
        <v>789</v>
      </c>
      <c r="AI12" s="125" t="s">
        <v>790</v>
      </c>
      <c r="AJ12" s="125" t="s">
        <v>791</v>
      </c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 t="s">
        <v>792</v>
      </c>
      <c r="BI12" s="125" t="s">
        <v>793</v>
      </c>
      <c r="BJ12" s="125">
        <v>1</v>
      </c>
      <c r="BK12" s="125">
        <v>1</v>
      </c>
      <c r="BL12" s="125">
        <v>0</v>
      </c>
      <c r="BM12" s="125">
        <v>0</v>
      </c>
      <c r="BN12" s="125">
        <v>1</v>
      </c>
      <c r="BO12" s="125">
        <v>0</v>
      </c>
      <c r="BP12" s="125">
        <v>6</v>
      </c>
      <c r="BQ12" s="125">
        <v>0</v>
      </c>
      <c r="BR12" s="125">
        <v>1</v>
      </c>
      <c r="BS12" s="125">
        <v>1</v>
      </c>
      <c r="BT12" s="125">
        <v>0</v>
      </c>
      <c r="BU12" s="125">
        <v>0</v>
      </c>
      <c r="BV12" s="125">
        <v>1</v>
      </c>
      <c r="BW12" s="125">
        <v>0</v>
      </c>
      <c r="BX12" s="125">
        <v>0</v>
      </c>
      <c r="BY12" s="125" t="s">
        <v>794</v>
      </c>
      <c r="BZ12" s="125" t="s">
        <v>795</v>
      </c>
      <c r="CA12" s="125" t="s">
        <v>796</v>
      </c>
      <c r="CB12" s="125" t="s">
        <v>796</v>
      </c>
      <c r="CC12" s="125" t="s">
        <v>796</v>
      </c>
      <c r="CD12" s="125" t="s">
        <v>796</v>
      </c>
      <c r="CE12" s="125" t="s">
        <v>797</v>
      </c>
      <c r="CF12" s="125">
        <v>0</v>
      </c>
      <c r="CG12" s="125">
        <v>0</v>
      </c>
      <c r="CH12" s="125">
        <v>2097160</v>
      </c>
      <c r="CI12" s="125"/>
      <c r="CJ12" s="125"/>
      <c r="CK12" s="125">
        <v>0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>
        <v>0</v>
      </c>
    </row>
    <row r="14" spans="1:133" x14ac:dyDescent="0.2">
      <c r="A14" s="125">
        <v>22</v>
      </c>
      <c r="B14" s="125">
        <v>0</v>
      </c>
      <c r="C14" s="125">
        <v>0</v>
      </c>
      <c r="D14" s="125">
        <v>51866571</v>
      </c>
      <c r="E14" s="125">
        <v>51866573</v>
      </c>
      <c r="F14" s="125">
        <v>3</v>
      </c>
      <c r="G14" s="125"/>
      <c r="H14" s="125"/>
      <c r="I14" s="125"/>
      <c r="J14" s="125"/>
      <c r="K14" s="125"/>
      <c r="L14" s="125"/>
      <c r="M14" s="125"/>
      <c r="N14" s="125"/>
      <c r="O14" s="125"/>
    </row>
    <row r="16" spans="1:133" x14ac:dyDescent="0.2">
      <c r="A16" s="131">
        <v>3</v>
      </c>
      <c r="B16" s="131">
        <v>1</v>
      </c>
      <c r="C16" s="131" t="s">
        <v>708</v>
      </c>
      <c r="D16" s="131" t="s">
        <v>798</v>
      </c>
      <c r="E16" s="132">
        <f>(Source!P82)/1000</f>
        <v>715.03099999999995</v>
      </c>
      <c r="F16" s="132">
        <f>(Source!P83)/1000</f>
        <v>0</v>
      </c>
      <c r="G16" s="132">
        <f>(Source!P74)/1000</f>
        <v>0</v>
      </c>
      <c r="H16" s="132">
        <f>(Source!P84)/1000+(Source!P85)/1000</f>
        <v>0</v>
      </c>
      <c r="I16" s="132">
        <f>E16+F16+G16+H16</f>
        <v>715.03099999999995</v>
      </c>
      <c r="J16" s="132">
        <f>(Source!P94)/1000</f>
        <v>97.203999999999994</v>
      </c>
      <c r="T16" s="133">
        <f>(Source!F82)/1000</f>
        <v>561.36099999999999</v>
      </c>
      <c r="U16" s="133">
        <f>(Source!F83)/1000</f>
        <v>0</v>
      </c>
      <c r="V16" s="133">
        <f>(Source!F74)/1000</f>
        <v>0</v>
      </c>
      <c r="W16" s="133">
        <f>(Source!F84)/1000+(Source!F85)/1000</f>
        <v>0</v>
      </c>
      <c r="X16" s="133">
        <f>T16+U16+V16+W16</f>
        <v>561.36099999999999</v>
      </c>
      <c r="Y16" s="133">
        <f>(Source!F94)/1000</f>
        <v>61.698</v>
      </c>
      <c r="AI16" s="131">
        <v>0</v>
      </c>
      <c r="AJ16" s="131">
        <v>-1</v>
      </c>
      <c r="AK16" s="131"/>
      <c r="AL16" s="131"/>
      <c r="AM16" s="131"/>
      <c r="AN16" s="131">
        <v>0</v>
      </c>
      <c r="AO16" s="131"/>
      <c r="AP16" s="131"/>
      <c r="AT16" s="132">
        <v>571339</v>
      </c>
      <c r="AU16" s="132">
        <v>461934</v>
      </c>
      <c r="AV16" s="132">
        <v>0</v>
      </c>
      <c r="AW16" s="132">
        <v>0</v>
      </c>
      <c r="AX16" s="132">
        <v>0</v>
      </c>
      <c r="AY16" s="132">
        <v>12201</v>
      </c>
      <c r="AZ16" s="132">
        <v>2556</v>
      </c>
      <c r="BA16" s="132">
        <v>97204</v>
      </c>
      <c r="BB16" s="132">
        <v>715031</v>
      </c>
      <c r="BC16" s="132">
        <v>0</v>
      </c>
      <c r="BD16" s="132">
        <v>0</v>
      </c>
      <c r="BE16" s="132">
        <v>0</v>
      </c>
      <c r="BF16" s="132">
        <v>605.78742554999997</v>
      </c>
      <c r="BG16" s="132">
        <v>3.7164324999999998</v>
      </c>
      <c r="BH16" s="132">
        <v>0</v>
      </c>
      <c r="BI16" s="132">
        <v>91605</v>
      </c>
      <c r="BJ16" s="132">
        <v>52087</v>
      </c>
      <c r="BK16" s="132">
        <v>715031</v>
      </c>
      <c r="BR16" s="133">
        <v>470688</v>
      </c>
      <c r="BS16" s="133">
        <v>400889</v>
      </c>
      <c r="BT16" s="133">
        <v>0</v>
      </c>
      <c r="BU16" s="133">
        <v>0</v>
      </c>
      <c r="BV16" s="133">
        <v>0</v>
      </c>
      <c r="BW16" s="133">
        <v>8101</v>
      </c>
      <c r="BX16" s="133">
        <v>353</v>
      </c>
      <c r="BY16" s="133">
        <v>61698</v>
      </c>
      <c r="BZ16" s="133">
        <v>561361</v>
      </c>
      <c r="CA16" s="133">
        <v>0</v>
      </c>
      <c r="CB16" s="133">
        <v>0</v>
      </c>
      <c r="CC16" s="133">
        <v>0</v>
      </c>
      <c r="CD16" s="133">
        <v>605.78742554999997</v>
      </c>
      <c r="CE16" s="133">
        <v>3.7164324999999998</v>
      </c>
      <c r="CF16" s="133">
        <v>0</v>
      </c>
      <c r="CG16" s="133">
        <v>60110</v>
      </c>
      <c r="CH16" s="133">
        <v>30563</v>
      </c>
      <c r="CI16" s="133">
        <v>561361</v>
      </c>
    </row>
    <row r="18" spans="1:40" x14ac:dyDescent="0.2">
      <c r="A18">
        <v>51</v>
      </c>
      <c r="E18" s="134">
        <f>SUMIF(A16:A17,3,E16:E17)</f>
        <v>715.03099999999995</v>
      </c>
      <c r="F18" s="134">
        <f>SUMIF(A16:A17,3,F16:F17)</f>
        <v>0</v>
      </c>
      <c r="G18" s="134">
        <f>SUMIF(A16:A17,3,G16:G17)</f>
        <v>0</v>
      </c>
      <c r="H18" s="134">
        <f>SUMIF(A16:A17,3,H16:H17)</f>
        <v>0</v>
      </c>
      <c r="I18" s="134">
        <f>SUMIF(A16:A17,3,I16:I17)</f>
        <v>715.03099999999995</v>
      </c>
      <c r="J18" s="134">
        <f>SUMIF(A16:A17,3,J16:J17)</f>
        <v>97.203999999999994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26">
        <f>SUMIF(A16:A17,3,T16:T17)</f>
        <v>561.36099999999999</v>
      </c>
      <c r="U18" s="126">
        <f>SUMIF(A16:A17,3,U16:U17)</f>
        <v>0</v>
      </c>
      <c r="V18" s="126">
        <f>SUMIF(A16:A17,3,V16:V17)</f>
        <v>0</v>
      </c>
      <c r="W18" s="126">
        <f>SUMIF(A16:A17,3,W16:W17)</f>
        <v>0</v>
      </c>
      <c r="X18" s="126">
        <f>SUMIF(A16:A17,3,X16:X17)</f>
        <v>561.36099999999999</v>
      </c>
      <c r="Y18" s="126">
        <f>SUMIF(A16:A17,3,Y16:Y17)</f>
        <v>61.698</v>
      </c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</row>
    <row r="20" spans="1:40" x14ac:dyDescent="0.2">
      <c r="A20" s="129">
        <v>50</v>
      </c>
      <c r="B20" s="129">
        <v>0</v>
      </c>
      <c r="C20" s="129">
        <v>0</v>
      </c>
      <c r="D20" s="129">
        <v>1</v>
      </c>
      <c r="E20" s="129">
        <v>201</v>
      </c>
      <c r="F20" s="129">
        <v>571339</v>
      </c>
      <c r="G20" s="129" t="s">
        <v>882</v>
      </c>
      <c r="H20" s="129" t="s">
        <v>883</v>
      </c>
      <c r="I20" s="129"/>
      <c r="J20" s="129"/>
      <c r="K20" s="129">
        <v>201</v>
      </c>
      <c r="L20" s="129">
        <v>1</v>
      </c>
      <c r="M20" s="129">
        <v>3</v>
      </c>
      <c r="N20" s="129"/>
      <c r="O20" s="129">
        <v>0</v>
      </c>
      <c r="P20" s="129">
        <v>470688</v>
      </c>
    </row>
    <row r="21" spans="1:40" x14ac:dyDescent="0.2">
      <c r="A21" s="129">
        <v>50</v>
      </c>
      <c r="B21" s="129">
        <v>0</v>
      </c>
      <c r="C21" s="129">
        <v>0</v>
      </c>
      <c r="D21" s="129">
        <v>1</v>
      </c>
      <c r="E21" s="129">
        <v>0</v>
      </c>
      <c r="F21" s="129">
        <v>461934</v>
      </c>
      <c r="G21" s="129" t="s">
        <v>884</v>
      </c>
      <c r="H21" s="129" t="s">
        <v>885</v>
      </c>
      <c r="I21" s="129"/>
      <c r="J21" s="129"/>
      <c r="K21" s="129">
        <v>202</v>
      </c>
      <c r="L21" s="129">
        <v>2</v>
      </c>
      <c r="M21" s="129">
        <v>3</v>
      </c>
      <c r="N21" s="129"/>
      <c r="O21" s="129">
        <v>0</v>
      </c>
      <c r="P21" s="129">
        <v>400889</v>
      </c>
    </row>
    <row r="22" spans="1:40" x14ac:dyDescent="0.2">
      <c r="A22" s="129">
        <v>50</v>
      </c>
      <c r="B22" s="129">
        <v>0</v>
      </c>
      <c r="C22" s="129">
        <v>0</v>
      </c>
      <c r="D22" s="129">
        <v>1</v>
      </c>
      <c r="E22" s="129">
        <v>222</v>
      </c>
      <c r="F22" s="129">
        <v>0</v>
      </c>
      <c r="G22" s="129" t="s">
        <v>886</v>
      </c>
      <c r="H22" s="129" t="s">
        <v>887</v>
      </c>
      <c r="I22" s="129"/>
      <c r="J22" s="129"/>
      <c r="K22" s="129">
        <v>222</v>
      </c>
      <c r="L22" s="129">
        <v>3</v>
      </c>
      <c r="M22" s="129">
        <v>3</v>
      </c>
      <c r="N22" s="129"/>
      <c r="O22" s="129">
        <v>0</v>
      </c>
      <c r="P22" s="129">
        <v>0</v>
      </c>
    </row>
    <row r="23" spans="1:40" x14ac:dyDescent="0.2">
      <c r="A23" s="129">
        <v>50</v>
      </c>
      <c r="B23" s="129">
        <v>0</v>
      </c>
      <c r="C23" s="129">
        <v>0</v>
      </c>
      <c r="D23" s="129">
        <v>1</v>
      </c>
      <c r="E23" s="129">
        <v>225</v>
      </c>
      <c r="F23" s="129">
        <v>461934</v>
      </c>
      <c r="G23" s="129" t="s">
        <v>888</v>
      </c>
      <c r="H23" s="129" t="s">
        <v>889</v>
      </c>
      <c r="I23" s="129"/>
      <c r="J23" s="129"/>
      <c r="K23" s="129">
        <v>225</v>
      </c>
      <c r="L23" s="129">
        <v>4</v>
      </c>
      <c r="M23" s="129">
        <v>3</v>
      </c>
      <c r="N23" s="129"/>
      <c r="O23" s="129">
        <v>0</v>
      </c>
      <c r="P23" s="129">
        <v>400889</v>
      </c>
    </row>
    <row r="24" spans="1:40" x14ac:dyDescent="0.2">
      <c r="A24" s="129">
        <v>50</v>
      </c>
      <c r="B24" s="129">
        <v>0</v>
      </c>
      <c r="C24" s="129">
        <v>0</v>
      </c>
      <c r="D24" s="129">
        <v>1</v>
      </c>
      <c r="E24" s="129">
        <v>226</v>
      </c>
      <c r="F24" s="129">
        <v>461934</v>
      </c>
      <c r="G24" s="129" t="s">
        <v>890</v>
      </c>
      <c r="H24" s="129" t="s">
        <v>891</v>
      </c>
      <c r="I24" s="129"/>
      <c r="J24" s="129"/>
      <c r="K24" s="129">
        <v>226</v>
      </c>
      <c r="L24" s="129">
        <v>5</v>
      </c>
      <c r="M24" s="129">
        <v>3</v>
      </c>
      <c r="N24" s="129"/>
      <c r="O24" s="129">
        <v>0</v>
      </c>
      <c r="P24" s="129">
        <v>400889</v>
      </c>
    </row>
    <row r="25" spans="1:40" x14ac:dyDescent="0.2">
      <c r="A25" s="129">
        <v>50</v>
      </c>
      <c r="B25" s="129">
        <v>0</v>
      </c>
      <c r="C25" s="129">
        <v>0</v>
      </c>
      <c r="D25" s="129">
        <v>1</v>
      </c>
      <c r="E25" s="129">
        <v>227</v>
      </c>
      <c r="F25" s="129">
        <v>0</v>
      </c>
      <c r="G25" s="129" t="s">
        <v>892</v>
      </c>
      <c r="H25" s="129" t="s">
        <v>893</v>
      </c>
      <c r="I25" s="129"/>
      <c r="J25" s="129"/>
      <c r="K25" s="129">
        <v>227</v>
      </c>
      <c r="L25" s="129">
        <v>6</v>
      </c>
      <c r="M25" s="129">
        <v>3</v>
      </c>
      <c r="N25" s="129"/>
      <c r="O25" s="129">
        <v>0</v>
      </c>
      <c r="P25" s="129">
        <v>0</v>
      </c>
    </row>
    <row r="26" spans="1:40" x14ac:dyDescent="0.2">
      <c r="A26" s="129">
        <v>50</v>
      </c>
      <c r="B26" s="129">
        <v>0</v>
      </c>
      <c r="C26" s="129">
        <v>0</v>
      </c>
      <c r="D26" s="129">
        <v>1</v>
      </c>
      <c r="E26" s="129">
        <v>228</v>
      </c>
      <c r="F26" s="129">
        <v>461934</v>
      </c>
      <c r="G26" s="129" t="s">
        <v>894</v>
      </c>
      <c r="H26" s="129" t="s">
        <v>895</v>
      </c>
      <c r="I26" s="129"/>
      <c r="J26" s="129"/>
      <c r="K26" s="129">
        <v>228</v>
      </c>
      <c r="L26" s="129">
        <v>7</v>
      </c>
      <c r="M26" s="129">
        <v>3</v>
      </c>
      <c r="N26" s="129"/>
      <c r="O26" s="129">
        <v>0</v>
      </c>
      <c r="P26" s="129">
        <v>400889</v>
      </c>
    </row>
    <row r="27" spans="1:40" x14ac:dyDescent="0.2">
      <c r="A27" s="129">
        <v>50</v>
      </c>
      <c r="B27" s="129">
        <v>0</v>
      </c>
      <c r="C27" s="129">
        <v>0</v>
      </c>
      <c r="D27" s="129">
        <v>1</v>
      </c>
      <c r="E27" s="129">
        <v>216</v>
      </c>
      <c r="F27" s="129">
        <v>0</v>
      </c>
      <c r="G27" s="129" t="s">
        <v>896</v>
      </c>
      <c r="H27" s="129" t="s">
        <v>897</v>
      </c>
      <c r="I27" s="129"/>
      <c r="J27" s="129"/>
      <c r="K27" s="129">
        <v>216</v>
      </c>
      <c r="L27" s="129">
        <v>8</v>
      </c>
      <c r="M27" s="129">
        <v>3</v>
      </c>
      <c r="N27" s="129"/>
      <c r="O27" s="129">
        <v>0</v>
      </c>
      <c r="P27" s="129">
        <v>0</v>
      </c>
    </row>
    <row r="28" spans="1:40" x14ac:dyDescent="0.2">
      <c r="A28" s="129">
        <v>50</v>
      </c>
      <c r="B28" s="129">
        <v>0</v>
      </c>
      <c r="C28" s="129">
        <v>0</v>
      </c>
      <c r="D28" s="129">
        <v>1</v>
      </c>
      <c r="E28" s="129">
        <v>223</v>
      </c>
      <c r="F28" s="129">
        <v>0</v>
      </c>
      <c r="G28" s="129" t="s">
        <v>898</v>
      </c>
      <c r="H28" s="129" t="s">
        <v>899</v>
      </c>
      <c r="I28" s="129"/>
      <c r="J28" s="129"/>
      <c r="K28" s="129">
        <v>223</v>
      </c>
      <c r="L28" s="129">
        <v>9</v>
      </c>
      <c r="M28" s="129">
        <v>3</v>
      </c>
      <c r="N28" s="129"/>
      <c r="O28" s="129">
        <v>0</v>
      </c>
      <c r="P28" s="129">
        <v>0</v>
      </c>
    </row>
    <row r="29" spans="1:40" x14ac:dyDescent="0.2">
      <c r="A29" s="129">
        <v>50</v>
      </c>
      <c r="B29" s="129">
        <v>0</v>
      </c>
      <c r="C29" s="129">
        <v>0</v>
      </c>
      <c r="D29" s="129">
        <v>1</v>
      </c>
      <c r="E29" s="129">
        <v>229</v>
      </c>
      <c r="F29" s="129">
        <v>0</v>
      </c>
      <c r="G29" s="129" t="s">
        <v>900</v>
      </c>
      <c r="H29" s="129" t="s">
        <v>901</v>
      </c>
      <c r="I29" s="129"/>
      <c r="J29" s="129"/>
      <c r="K29" s="129">
        <v>229</v>
      </c>
      <c r="L29" s="129">
        <v>10</v>
      </c>
      <c r="M29" s="129">
        <v>3</v>
      </c>
      <c r="N29" s="129"/>
      <c r="O29" s="129">
        <v>0</v>
      </c>
      <c r="P29" s="129">
        <v>0</v>
      </c>
    </row>
    <row r="30" spans="1:40" x14ac:dyDescent="0.2">
      <c r="A30" s="129">
        <v>50</v>
      </c>
      <c r="B30" s="129">
        <v>0</v>
      </c>
      <c r="C30" s="129">
        <v>0</v>
      </c>
      <c r="D30" s="129">
        <v>1</v>
      </c>
      <c r="E30" s="129">
        <v>0</v>
      </c>
      <c r="F30" s="129">
        <v>12201</v>
      </c>
      <c r="G30" s="129" t="s">
        <v>902</v>
      </c>
      <c r="H30" s="129" t="s">
        <v>903</v>
      </c>
      <c r="I30" s="129"/>
      <c r="J30" s="129"/>
      <c r="K30" s="129">
        <v>203</v>
      </c>
      <c r="L30" s="129">
        <v>11</v>
      </c>
      <c r="M30" s="129">
        <v>3</v>
      </c>
      <c r="N30" s="129"/>
      <c r="O30" s="129">
        <v>0</v>
      </c>
      <c r="P30" s="129">
        <v>8101</v>
      </c>
    </row>
    <row r="31" spans="1:40" x14ac:dyDescent="0.2">
      <c r="A31" s="129">
        <v>50</v>
      </c>
      <c r="B31" s="129">
        <v>0</v>
      </c>
      <c r="C31" s="129">
        <v>0</v>
      </c>
      <c r="D31" s="129">
        <v>1</v>
      </c>
      <c r="E31" s="129">
        <v>231</v>
      </c>
      <c r="F31" s="129">
        <v>0</v>
      </c>
      <c r="G31" s="129" t="s">
        <v>904</v>
      </c>
      <c r="H31" s="129" t="s">
        <v>905</v>
      </c>
      <c r="I31" s="129"/>
      <c r="J31" s="129"/>
      <c r="K31" s="129">
        <v>231</v>
      </c>
      <c r="L31" s="129">
        <v>12</v>
      </c>
      <c r="M31" s="129">
        <v>3</v>
      </c>
      <c r="N31" s="129"/>
      <c r="O31" s="129">
        <v>0</v>
      </c>
      <c r="P31" s="129">
        <v>0</v>
      </c>
    </row>
    <row r="32" spans="1:40" x14ac:dyDescent="0.2">
      <c r="A32" s="129">
        <v>50</v>
      </c>
      <c r="B32" s="129">
        <v>0</v>
      </c>
      <c r="C32" s="129">
        <v>0</v>
      </c>
      <c r="D32" s="129">
        <v>1</v>
      </c>
      <c r="E32" s="129">
        <v>204</v>
      </c>
      <c r="F32" s="129">
        <v>2556</v>
      </c>
      <c r="G32" s="129" t="s">
        <v>906</v>
      </c>
      <c r="H32" s="129" t="s">
        <v>907</v>
      </c>
      <c r="I32" s="129"/>
      <c r="J32" s="129"/>
      <c r="K32" s="129">
        <v>204</v>
      </c>
      <c r="L32" s="129">
        <v>13</v>
      </c>
      <c r="M32" s="129">
        <v>3</v>
      </c>
      <c r="N32" s="129"/>
      <c r="O32" s="129">
        <v>0</v>
      </c>
      <c r="P32" s="129">
        <v>353</v>
      </c>
    </row>
    <row r="33" spans="1:16" x14ac:dyDescent="0.2">
      <c r="A33" s="129">
        <v>50</v>
      </c>
      <c r="B33" s="129">
        <v>0</v>
      </c>
      <c r="C33" s="129">
        <v>0</v>
      </c>
      <c r="D33" s="129">
        <v>1</v>
      </c>
      <c r="E33" s="129">
        <v>0</v>
      </c>
      <c r="F33" s="129">
        <v>97204</v>
      </c>
      <c r="G33" s="129" t="s">
        <v>127</v>
      </c>
      <c r="H33" s="129" t="s">
        <v>908</v>
      </c>
      <c r="I33" s="129"/>
      <c r="J33" s="129"/>
      <c r="K33" s="129">
        <v>205</v>
      </c>
      <c r="L33" s="129">
        <v>14</v>
      </c>
      <c r="M33" s="129">
        <v>3</v>
      </c>
      <c r="N33" s="129"/>
      <c r="O33" s="129">
        <v>0</v>
      </c>
      <c r="P33" s="129">
        <v>61698</v>
      </c>
    </row>
    <row r="34" spans="1:16" x14ac:dyDescent="0.2">
      <c r="A34" s="129">
        <v>50</v>
      </c>
      <c r="B34" s="129">
        <v>0</v>
      </c>
      <c r="C34" s="129">
        <v>0</v>
      </c>
      <c r="D34" s="129">
        <v>1</v>
      </c>
      <c r="E34" s="129">
        <v>232</v>
      </c>
      <c r="F34" s="129">
        <v>0</v>
      </c>
      <c r="G34" s="129" t="s">
        <v>909</v>
      </c>
      <c r="H34" s="129" t="s">
        <v>910</v>
      </c>
      <c r="I34" s="129"/>
      <c r="J34" s="129"/>
      <c r="K34" s="129">
        <v>232</v>
      </c>
      <c r="L34" s="129">
        <v>15</v>
      </c>
      <c r="M34" s="129">
        <v>3</v>
      </c>
      <c r="N34" s="129"/>
      <c r="O34" s="129">
        <v>0</v>
      </c>
      <c r="P34" s="129">
        <v>0</v>
      </c>
    </row>
    <row r="35" spans="1:16" x14ac:dyDescent="0.2">
      <c r="A35" s="129">
        <v>50</v>
      </c>
      <c r="B35" s="129">
        <v>0</v>
      </c>
      <c r="C35" s="129">
        <v>0</v>
      </c>
      <c r="D35" s="129">
        <v>1</v>
      </c>
      <c r="E35" s="129">
        <v>214</v>
      </c>
      <c r="F35" s="129">
        <v>715031</v>
      </c>
      <c r="G35" s="129" t="s">
        <v>911</v>
      </c>
      <c r="H35" s="129" t="s">
        <v>912</v>
      </c>
      <c r="I35" s="129"/>
      <c r="J35" s="129"/>
      <c r="K35" s="129">
        <v>214</v>
      </c>
      <c r="L35" s="129">
        <v>16</v>
      </c>
      <c r="M35" s="129">
        <v>3</v>
      </c>
      <c r="N35" s="129"/>
      <c r="O35" s="129">
        <v>0</v>
      </c>
      <c r="P35" s="129">
        <v>561361</v>
      </c>
    </row>
    <row r="36" spans="1:16" x14ac:dyDescent="0.2">
      <c r="A36" s="129">
        <v>50</v>
      </c>
      <c r="B36" s="129">
        <v>0</v>
      </c>
      <c r="C36" s="129">
        <v>0</v>
      </c>
      <c r="D36" s="129">
        <v>1</v>
      </c>
      <c r="E36" s="129">
        <v>215</v>
      </c>
      <c r="F36" s="129">
        <v>0</v>
      </c>
      <c r="G36" s="129" t="s">
        <v>913</v>
      </c>
      <c r="H36" s="129" t="s">
        <v>914</v>
      </c>
      <c r="I36" s="129"/>
      <c r="J36" s="129"/>
      <c r="K36" s="129">
        <v>215</v>
      </c>
      <c r="L36" s="129">
        <v>17</v>
      </c>
      <c r="M36" s="129">
        <v>3</v>
      </c>
      <c r="N36" s="129"/>
      <c r="O36" s="129">
        <v>0</v>
      </c>
      <c r="P36" s="129">
        <v>0</v>
      </c>
    </row>
    <row r="37" spans="1:16" x14ac:dyDescent="0.2">
      <c r="A37" s="129">
        <v>50</v>
      </c>
      <c r="B37" s="129">
        <v>0</v>
      </c>
      <c r="C37" s="129">
        <v>0</v>
      </c>
      <c r="D37" s="129">
        <v>1</v>
      </c>
      <c r="E37" s="129">
        <v>217</v>
      </c>
      <c r="F37" s="129">
        <v>0</v>
      </c>
      <c r="G37" s="129" t="s">
        <v>915</v>
      </c>
      <c r="H37" s="129" t="s">
        <v>916</v>
      </c>
      <c r="I37" s="129"/>
      <c r="J37" s="129"/>
      <c r="K37" s="129">
        <v>217</v>
      </c>
      <c r="L37" s="129">
        <v>18</v>
      </c>
      <c r="M37" s="129">
        <v>3</v>
      </c>
      <c r="N37" s="129"/>
      <c r="O37" s="129">
        <v>0</v>
      </c>
      <c r="P37" s="129">
        <v>0</v>
      </c>
    </row>
    <row r="38" spans="1:16" x14ac:dyDescent="0.2">
      <c r="A38" s="129">
        <v>50</v>
      </c>
      <c r="B38" s="129">
        <v>0</v>
      </c>
      <c r="C38" s="129">
        <v>0</v>
      </c>
      <c r="D38" s="129">
        <v>1</v>
      </c>
      <c r="E38" s="129">
        <v>230</v>
      </c>
      <c r="F38" s="129">
        <v>0</v>
      </c>
      <c r="G38" s="129" t="s">
        <v>917</v>
      </c>
      <c r="H38" s="129" t="s">
        <v>918</v>
      </c>
      <c r="I38" s="129"/>
      <c r="J38" s="129"/>
      <c r="K38" s="129">
        <v>230</v>
      </c>
      <c r="L38" s="129">
        <v>19</v>
      </c>
      <c r="M38" s="129">
        <v>3</v>
      </c>
      <c r="N38" s="129"/>
      <c r="O38" s="129">
        <v>0</v>
      </c>
      <c r="P38" s="129">
        <v>0</v>
      </c>
    </row>
    <row r="39" spans="1:16" x14ac:dyDescent="0.2">
      <c r="A39" s="129">
        <v>50</v>
      </c>
      <c r="B39" s="129">
        <v>0</v>
      </c>
      <c r="C39" s="129">
        <v>0</v>
      </c>
      <c r="D39" s="129">
        <v>1</v>
      </c>
      <c r="E39" s="129">
        <v>206</v>
      </c>
      <c r="F39" s="129">
        <v>0</v>
      </c>
      <c r="G39" s="129" t="s">
        <v>919</v>
      </c>
      <c r="H39" s="129" t="s">
        <v>920</v>
      </c>
      <c r="I39" s="129"/>
      <c r="J39" s="129"/>
      <c r="K39" s="129">
        <v>206</v>
      </c>
      <c r="L39" s="129">
        <v>20</v>
      </c>
      <c r="M39" s="129">
        <v>3</v>
      </c>
      <c r="N39" s="129"/>
      <c r="O39" s="129">
        <v>0</v>
      </c>
      <c r="P39" s="129">
        <v>0</v>
      </c>
    </row>
    <row r="40" spans="1:16" x14ac:dyDescent="0.2">
      <c r="A40" s="129">
        <v>50</v>
      </c>
      <c r="B40" s="129">
        <v>0</v>
      </c>
      <c r="C40" s="129">
        <v>0</v>
      </c>
      <c r="D40" s="129">
        <v>1</v>
      </c>
      <c r="E40" s="129">
        <v>207</v>
      </c>
      <c r="F40" s="129">
        <v>605.78742554999997</v>
      </c>
      <c r="G40" s="129" t="s">
        <v>921</v>
      </c>
      <c r="H40" s="129" t="s">
        <v>922</v>
      </c>
      <c r="I40" s="129"/>
      <c r="J40" s="129"/>
      <c r="K40" s="129">
        <v>207</v>
      </c>
      <c r="L40" s="129">
        <v>21</v>
      </c>
      <c r="M40" s="129">
        <v>3</v>
      </c>
      <c r="N40" s="129"/>
      <c r="O40" s="129">
        <v>-1</v>
      </c>
      <c r="P40" s="129">
        <v>605.78742554999997</v>
      </c>
    </row>
    <row r="41" spans="1:16" x14ac:dyDescent="0.2">
      <c r="A41" s="129">
        <v>50</v>
      </c>
      <c r="B41" s="129">
        <v>0</v>
      </c>
      <c r="C41" s="129">
        <v>0</v>
      </c>
      <c r="D41" s="129">
        <v>1</v>
      </c>
      <c r="E41" s="129">
        <v>208</v>
      </c>
      <c r="F41" s="129">
        <v>3.7164324999999998</v>
      </c>
      <c r="G41" s="129" t="s">
        <v>923</v>
      </c>
      <c r="H41" s="129" t="s">
        <v>924</v>
      </c>
      <c r="I41" s="129"/>
      <c r="J41" s="129"/>
      <c r="K41" s="129">
        <v>208</v>
      </c>
      <c r="L41" s="129">
        <v>22</v>
      </c>
      <c r="M41" s="129">
        <v>3</v>
      </c>
      <c r="N41" s="129"/>
      <c r="O41" s="129">
        <v>-1</v>
      </c>
      <c r="P41" s="129">
        <v>3.7164324999999998</v>
      </c>
    </row>
    <row r="42" spans="1:16" x14ac:dyDescent="0.2">
      <c r="A42" s="129">
        <v>50</v>
      </c>
      <c r="B42" s="129">
        <v>0</v>
      </c>
      <c r="C42" s="129">
        <v>0</v>
      </c>
      <c r="D42" s="129">
        <v>1</v>
      </c>
      <c r="E42" s="129">
        <v>209</v>
      </c>
      <c r="F42" s="129">
        <v>0</v>
      </c>
      <c r="G42" s="129" t="s">
        <v>925</v>
      </c>
      <c r="H42" s="129" t="s">
        <v>926</v>
      </c>
      <c r="I42" s="129"/>
      <c r="J42" s="129"/>
      <c r="K42" s="129">
        <v>209</v>
      </c>
      <c r="L42" s="129">
        <v>23</v>
      </c>
      <c r="M42" s="129">
        <v>3</v>
      </c>
      <c r="N42" s="129"/>
      <c r="O42" s="129">
        <v>0</v>
      </c>
      <c r="P42" s="129">
        <v>0</v>
      </c>
    </row>
    <row r="43" spans="1:16" x14ac:dyDescent="0.2">
      <c r="A43" s="129">
        <v>50</v>
      </c>
      <c r="B43" s="129">
        <v>0</v>
      </c>
      <c r="C43" s="129">
        <v>0</v>
      </c>
      <c r="D43" s="129">
        <v>1</v>
      </c>
      <c r="E43" s="129">
        <v>233</v>
      </c>
      <c r="F43" s="129">
        <v>8793</v>
      </c>
      <c r="G43" s="129" t="s">
        <v>927</v>
      </c>
      <c r="H43" s="129" t="s">
        <v>132</v>
      </c>
      <c r="I43" s="129"/>
      <c r="J43" s="129"/>
      <c r="K43" s="129">
        <v>233</v>
      </c>
      <c r="L43" s="129">
        <v>24</v>
      </c>
      <c r="M43" s="129">
        <v>3</v>
      </c>
      <c r="N43" s="129"/>
      <c r="O43" s="129">
        <v>0</v>
      </c>
      <c r="P43" s="129">
        <v>5548</v>
      </c>
    </row>
    <row r="44" spans="1:16" x14ac:dyDescent="0.2">
      <c r="A44" s="129">
        <v>50</v>
      </c>
      <c r="B44" s="129">
        <v>0</v>
      </c>
      <c r="C44" s="129">
        <v>0</v>
      </c>
      <c r="D44" s="129">
        <v>1</v>
      </c>
      <c r="E44" s="129">
        <v>0</v>
      </c>
      <c r="F44" s="129">
        <v>91605</v>
      </c>
      <c r="G44" s="129" t="s">
        <v>130</v>
      </c>
      <c r="H44" s="129" t="s">
        <v>928</v>
      </c>
      <c r="I44" s="129"/>
      <c r="J44" s="129"/>
      <c r="K44" s="129">
        <v>210</v>
      </c>
      <c r="L44" s="129">
        <v>25</v>
      </c>
      <c r="M44" s="129">
        <v>3</v>
      </c>
      <c r="N44" s="129"/>
      <c r="O44" s="129">
        <v>0</v>
      </c>
      <c r="P44" s="129">
        <v>60110</v>
      </c>
    </row>
    <row r="45" spans="1:16" x14ac:dyDescent="0.2">
      <c r="A45" s="129">
        <v>50</v>
      </c>
      <c r="B45" s="129">
        <v>0</v>
      </c>
      <c r="C45" s="129">
        <v>0</v>
      </c>
      <c r="D45" s="129">
        <v>1</v>
      </c>
      <c r="E45" s="129">
        <v>0</v>
      </c>
      <c r="F45" s="129">
        <v>52087</v>
      </c>
      <c r="G45" s="129" t="s">
        <v>929</v>
      </c>
      <c r="H45" s="129" t="s">
        <v>930</v>
      </c>
      <c r="I45" s="129"/>
      <c r="J45" s="129"/>
      <c r="K45" s="129">
        <v>211</v>
      </c>
      <c r="L45" s="129">
        <v>26</v>
      </c>
      <c r="M45" s="129">
        <v>3</v>
      </c>
      <c r="N45" s="129"/>
      <c r="O45" s="129">
        <v>0</v>
      </c>
      <c r="P45" s="129">
        <v>30563</v>
      </c>
    </row>
    <row r="46" spans="1:16" x14ac:dyDescent="0.2">
      <c r="A46" s="129">
        <v>50</v>
      </c>
      <c r="B46" s="129">
        <v>0</v>
      </c>
      <c r="C46" s="129">
        <v>0</v>
      </c>
      <c r="D46" s="129">
        <v>1</v>
      </c>
      <c r="E46" s="129">
        <v>224</v>
      </c>
      <c r="F46" s="129">
        <v>715031</v>
      </c>
      <c r="G46" s="129" t="s">
        <v>79</v>
      </c>
      <c r="H46" s="129" t="s">
        <v>931</v>
      </c>
      <c r="I46" s="129"/>
      <c r="J46" s="129"/>
      <c r="K46" s="129">
        <v>224</v>
      </c>
      <c r="L46" s="129">
        <v>27</v>
      </c>
      <c r="M46" s="129">
        <v>3</v>
      </c>
      <c r="N46" s="129"/>
      <c r="O46" s="129">
        <v>0</v>
      </c>
      <c r="P46" s="129">
        <v>561361</v>
      </c>
    </row>
    <row r="47" spans="1:16" x14ac:dyDescent="0.2">
      <c r="A47" s="129">
        <v>50</v>
      </c>
      <c r="B47" s="129">
        <v>1</v>
      </c>
      <c r="C47" s="129">
        <v>0</v>
      </c>
      <c r="D47" s="129">
        <v>2</v>
      </c>
      <c r="E47" s="129">
        <v>205</v>
      </c>
      <c r="F47" s="129">
        <v>97204</v>
      </c>
      <c r="G47" s="129" t="s">
        <v>87</v>
      </c>
      <c r="H47" s="129" t="s">
        <v>127</v>
      </c>
      <c r="I47" s="129"/>
      <c r="J47" s="129"/>
      <c r="K47" s="129">
        <v>212</v>
      </c>
      <c r="L47" s="129">
        <v>28</v>
      </c>
      <c r="M47" s="129">
        <v>0</v>
      </c>
      <c r="N47" s="129"/>
      <c r="O47" s="129">
        <v>0</v>
      </c>
      <c r="P47" s="129">
        <v>61698</v>
      </c>
    </row>
    <row r="48" spans="1:16" x14ac:dyDescent="0.2">
      <c r="A48" s="129">
        <v>50</v>
      </c>
      <c r="B48" s="129">
        <v>1</v>
      </c>
      <c r="C48" s="129">
        <v>0</v>
      </c>
      <c r="D48" s="129">
        <v>2</v>
      </c>
      <c r="E48" s="129">
        <v>203</v>
      </c>
      <c r="F48" s="129">
        <v>12201</v>
      </c>
      <c r="G48" s="129" t="s">
        <v>96</v>
      </c>
      <c r="H48" s="129" t="s">
        <v>128</v>
      </c>
      <c r="I48" s="129"/>
      <c r="J48" s="129"/>
      <c r="K48" s="129">
        <v>212</v>
      </c>
      <c r="L48" s="129">
        <v>29</v>
      </c>
      <c r="M48" s="129">
        <v>0</v>
      </c>
      <c r="N48" s="129"/>
      <c r="O48" s="129">
        <v>0</v>
      </c>
      <c r="P48" s="129">
        <v>8101</v>
      </c>
    </row>
    <row r="49" spans="1:16" x14ac:dyDescent="0.2">
      <c r="A49" s="129">
        <v>50</v>
      </c>
      <c r="B49" s="129">
        <v>1</v>
      </c>
      <c r="C49" s="129">
        <v>0</v>
      </c>
      <c r="D49" s="129">
        <v>2</v>
      </c>
      <c r="E49" s="129">
        <v>202</v>
      </c>
      <c r="F49" s="129">
        <v>461934</v>
      </c>
      <c r="G49" s="129" t="s">
        <v>100</v>
      </c>
      <c r="H49" s="129" t="s">
        <v>932</v>
      </c>
      <c r="I49" s="129"/>
      <c r="J49" s="129"/>
      <c r="K49" s="129">
        <v>212</v>
      </c>
      <c r="L49" s="129">
        <v>30</v>
      </c>
      <c r="M49" s="129">
        <v>0</v>
      </c>
      <c r="N49" s="129"/>
      <c r="O49" s="129">
        <v>0</v>
      </c>
      <c r="P49" s="129">
        <v>400889</v>
      </c>
    </row>
    <row r="50" spans="1:16" x14ac:dyDescent="0.2">
      <c r="A50" s="129">
        <v>50</v>
      </c>
      <c r="B50" s="129">
        <v>1</v>
      </c>
      <c r="C50" s="129">
        <v>0</v>
      </c>
      <c r="D50" s="129">
        <v>2</v>
      </c>
      <c r="E50" s="129">
        <v>210</v>
      </c>
      <c r="F50" s="129">
        <v>91605</v>
      </c>
      <c r="G50" s="129" t="s">
        <v>105</v>
      </c>
      <c r="H50" s="129" t="s">
        <v>130</v>
      </c>
      <c r="I50" s="129"/>
      <c r="J50" s="129"/>
      <c r="K50" s="129">
        <v>212</v>
      </c>
      <c r="L50" s="129">
        <v>31</v>
      </c>
      <c r="M50" s="129">
        <v>0</v>
      </c>
      <c r="N50" s="129"/>
      <c r="O50" s="129">
        <v>0</v>
      </c>
      <c r="P50" s="129">
        <v>60110</v>
      </c>
    </row>
    <row r="51" spans="1:16" x14ac:dyDescent="0.2">
      <c r="A51" s="129">
        <v>50</v>
      </c>
      <c r="B51" s="129">
        <v>1</v>
      </c>
      <c r="C51" s="129">
        <v>0</v>
      </c>
      <c r="D51" s="129">
        <v>2</v>
      </c>
      <c r="E51" s="129">
        <v>211</v>
      </c>
      <c r="F51" s="129">
        <v>52087</v>
      </c>
      <c r="G51" s="129" t="s">
        <v>106</v>
      </c>
      <c r="H51" s="129" t="s">
        <v>131</v>
      </c>
      <c r="I51" s="129"/>
      <c r="J51" s="129"/>
      <c r="K51" s="129">
        <v>212</v>
      </c>
      <c r="L51" s="129">
        <v>32</v>
      </c>
      <c r="M51" s="129">
        <v>0</v>
      </c>
      <c r="N51" s="129"/>
      <c r="O51" s="129">
        <v>0</v>
      </c>
      <c r="P51" s="129">
        <v>30563</v>
      </c>
    </row>
    <row r="52" spans="1:16" x14ac:dyDescent="0.2">
      <c r="A52" s="129">
        <v>50</v>
      </c>
      <c r="B52" s="129">
        <v>1</v>
      </c>
      <c r="C52" s="129">
        <v>0</v>
      </c>
      <c r="D52" s="129">
        <v>2</v>
      </c>
      <c r="E52" s="129">
        <v>213</v>
      </c>
      <c r="F52" s="129">
        <v>715031</v>
      </c>
      <c r="G52" s="129" t="s">
        <v>112</v>
      </c>
      <c r="H52" s="129" t="s">
        <v>134</v>
      </c>
      <c r="I52" s="129"/>
      <c r="J52" s="129"/>
      <c r="K52" s="129">
        <v>212</v>
      </c>
      <c r="L52" s="129">
        <v>33</v>
      </c>
      <c r="M52" s="129">
        <v>0</v>
      </c>
      <c r="N52" s="129"/>
      <c r="O52" s="129">
        <v>0</v>
      </c>
      <c r="P52" s="129">
        <v>561361</v>
      </c>
    </row>
    <row r="54" spans="1:16" x14ac:dyDescent="0.2">
      <c r="A54">
        <v>-1</v>
      </c>
    </row>
    <row r="57" spans="1:16" x14ac:dyDescent="0.2">
      <c r="A57" s="127">
        <v>75</v>
      </c>
      <c r="B57" s="127" t="s">
        <v>994</v>
      </c>
      <c r="C57" s="127">
        <v>2019</v>
      </c>
      <c r="D57" s="127">
        <v>0</v>
      </c>
      <c r="E57" s="127">
        <v>12</v>
      </c>
      <c r="F57" s="127"/>
      <c r="G57" s="127">
        <v>0</v>
      </c>
      <c r="H57" s="127">
        <v>1</v>
      </c>
      <c r="I57" s="127">
        <v>0</v>
      </c>
      <c r="J57" s="127">
        <v>3</v>
      </c>
      <c r="K57" s="127">
        <v>0</v>
      </c>
      <c r="L57" s="127">
        <v>0</v>
      </c>
      <c r="M57" s="127">
        <v>1</v>
      </c>
      <c r="N57" s="127">
        <v>51866571</v>
      </c>
      <c r="O57" s="127">
        <v>1</v>
      </c>
    </row>
    <row r="58" spans="1:16" x14ac:dyDescent="0.2">
      <c r="A58" s="130">
        <v>2</v>
      </c>
      <c r="B58" s="130" t="s">
        <v>995</v>
      </c>
      <c r="C58" s="130" t="s">
        <v>996</v>
      </c>
      <c r="D58" s="130">
        <v>0</v>
      </c>
      <c r="E58" s="130">
        <v>0</v>
      </c>
    </row>
    <row r="59" spans="1:16" x14ac:dyDescent="0.2">
      <c r="A59" s="127">
        <v>75</v>
      </c>
      <c r="B59" s="127" t="s">
        <v>997</v>
      </c>
      <c r="C59" s="127">
        <v>2000</v>
      </c>
      <c r="D59" s="127">
        <v>0</v>
      </c>
      <c r="E59" s="127">
        <v>1</v>
      </c>
      <c r="F59" s="127"/>
      <c r="G59" s="127">
        <v>0</v>
      </c>
      <c r="H59" s="127">
        <v>1</v>
      </c>
      <c r="I59" s="127">
        <v>0</v>
      </c>
      <c r="J59" s="127">
        <v>1</v>
      </c>
      <c r="K59" s="127">
        <v>0</v>
      </c>
      <c r="L59" s="127">
        <v>0</v>
      </c>
      <c r="M59" s="127">
        <v>0</v>
      </c>
      <c r="N59" s="127">
        <v>51866573</v>
      </c>
      <c r="O59" s="127">
        <v>2</v>
      </c>
    </row>
  </sheetData>
  <printOptions gridLines="1"/>
  <pageMargins left="0.75" right="0.75" top="1" bottom="1" header="0.5" footer="0.5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C118"/>
  <sheetViews>
    <sheetView workbookViewId="0"/>
  </sheetViews>
  <sheetFormatPr defaultColWidth="9.140625" defaultRowHeight="12.75" x14ac:dyDescent="0.2"/>
  <sheetData>
    <row r="1" spans="1:107" x14ac:dyDescent="0.2">
      <c r="A1">
        <f>ROW(Source!A24)</f>
        <v>24</v>
      </c>
      <c r="B1">
        <v>51866573</v>
      </c>
      <c r="C1">
        <v>51866866</v>
      </c>
      <c r="D1">
        <v>23131263</v>
      </c>
      <c r="E1">
        <v>1</v>
      </c>
      <c r="F1">
        <v>1</v>
      </c>
      <c r="G1">
        <v>1</v>
      </c>
      <c r="H1">
        <v>1</v>
      </c>
      <c r="I1" t="s">
        <v>999</v>
      </c>
      <c r="K1" t="s">
        <v>1000</v>
      </c>
      <c r="L1">
        <v>1369</v>
      </c>
      <c r="N1">
        <v>1013</v>
      </c>
      <c r="O1" t="s">
        <v>71</v>
      </c>
      <c r="P1" t="s">
        <v>71</v>
      </c>
      <c r="Q1">
        <v>1</v>
      </c>
      <c r="W1">
        <v>0</v>
      </c>
      <c r="X1">
        <v>920778480</v>
      </c>
      <c r="Y1">
        <v>128.72999999999999</v>
      </c>
      <c r="AA1">
        <v>0</v>
      </c>
      <c r="AB1">
        <v>0</v>
      </c>
      <c r="AC1">
        <v>0</v>
      </c>
      <c r="AD1">
        <v>7.63</v>
      </c>
      <c r="AE1">
        <v>0</v>
      </c>
      <c r="AF1">
        <v>0</v>
      </c>
      <c r="AG1">
        <v>0</v>
      </c>
      <c r="AH1">
        <v>7.63</v>
      </c>
      <c r="AI1">
        <v>1</v>
      </c>
      <c r="AJ1">
        <v>1</v>
      </c>
      <c r="AK1">
        <v>1</v>
      </c>
      <c r="AL1">
        <v>1</v>
      </c>
      <c r="AN1">
        <v>0</v>
      </c>
      <c r="AO1">
        <v>0</v>
      </c>
      <c r="AP1">
        <v>0</v>
      </c>
      <c r="AQ1">
        <v>1</v>
      </c>
      <c r="AR1">
        <v>0</v>
      </c>
      <c r="AT1">
        <v>128.72999999999999</v>
      </c>
      <c r="AV1">
        <v>1</v>
      </c>
      <c r="AW1">
        <v>2</v>
      </c>
      <c r="AX1">
        <v>51868248</v>
      </c>
      <c r="AY1">
        <v>1</v>
      </c>
      <c r="AZ1">
        <v>0</v>
      </c>
      <c r="BA1">
        <v>1</v>
      </c>
      <c r="BB1">
        <v>1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982.20989999999995</v>
      </c>
      <c r="BN1">
        <v>128.72999999999999</v>
      </c>
      <c r="BO1">
        <v>0</v>
      </c>
      <c r="BP1">
        <v>1</v>
      </c>
      <c r="BQ1">
        <v>0</v>
      </c>
      <c r="BR1">
        <v>0</v>
      </c>
      <c r="BS1">
        <v>0</v>
      </c>
      <c r="BT1">
        <v>982.20989999999995</v>
      </c>
      <c r="BU1">
        <v>128.72999999999999</v>
      </c>
      <c r="BV1">
        <v>0</v>
      </c>
      <c r="BW1">
        <v>1</v>
      </c>
      <c r="CX1">
        <f>Y1*Source!I24</f>
        <v>34.757100000000001</v>
      </c>
      <c r="CY1">
        <f>AD1</f>
        <v>7.63</v>
      </c>
      <c r="CZ1">
        <f>AH1</f>
        <v>7.63</v>
      </c>
      <c r="DA1">
        <f>AL1</f>
        <v>1</v>
      </c>
      <c r="DB1">
        <f t="shared" ref="DB1:DB36" si="0">ROUND(ROUND(AT1*CZ1,2),6)</f>
        <v>982.21</v>
      </c>
      <c r="DC1">
        <f t="shared" ref="DC1:DC36" si="1">ROUND(ROUND(AT1*AG1,2),6)</f>
        <v>0</v>
      </c>
    </row>
    <row r="2" spans="1:107" x14ac:dyDescent="0.2">
      <c r="A2">
        <f>ROW(Source!A24)</f>
        <v>24</v>
      </c>
      <c r="B2">
        <v>51866573</v>
      </c>
      <c r="C2">
        <v>51866866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96</v>
      </c>
      <c r="K2" t="s">
        <v>1001</v>
      </c>
      <c r="L2">
        <v>608254</v>
      </c>
      <c r="N2">
        <v>1013</v>
      </c>
      <c r="O2" t="s">
        <v>1002</v>
      </c>
      <c r="P2" t="s">
        <v>1002</v>
      </c>
      <c r="Q2">
        <v>1</v>
      </c>
      <c r="W2">
        <v>0</v>
      </c>
      <c r="X2">
        <v>-185737400</v>
      </c>
      <c r="Y2">
        <v>2.15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0</v>
      </c>
      <c r="AP2">
        <v>0</v>
      </c>
      <c r="AQ2">
        <v>1</v>
      </c>
      <c r="AR2">
        <v>0</v>
      </c>
      <c r="AT2">
        <v>2.15</v>
      </c>
      <c r="AV2">
        <v>2</v>
      </c>
      <c r="AW2">
        <v>2</v>
      </c>
      <c r="AX2">
        <v>51868249</v>
      </c>
      <c r="AY2">
        <v>1</v>
      </c>
      <c r="AZ2">
        <v>0</v>
      </c>
      <c r="BA2">
        <v>2</v>
      </c>
      <c r="BB2">
        <v>1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2.15</v>
      </c>
      <c r="BP2">
        <v>1</v>
      </c>
      <c r="BQ2">
        <v>0</v>
      </c>
      <c r="BR2">
        <v>0</v>
      </c>
      <c r="BS2">
        <v>0</v>
      </c>
      <c r="BT2">
        <v>0</v>
      </c>
      <c r="BU2">
        <v>0</v>
      </c>
      <c r="BV2">
        <v>2.15</v>
      </c>
      <c r="BW2">
        <v>1</v>
      </c>
      <c r="CX2">
        <f>Y2*Source!I24</f>
        <v>0.58050000000000002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 x14ac:dyDescent="0.2">
      <c r="A3">
        <f>ROW(Source!A24)</f>
        <v>24</v>
      </c>
      <c r="B3">
        <v>51866573</v>
      </c>
      <c r="C3">
        <v>51866866</v>
      </c>
      <c r="D3">
        <v>39127752</v>
      </c>
      <c r="E3">
        <v>1</v>
      </c>
      <c r="F3">
        <v>1</v>
      </c>
      <c r="G3">
        <v>1</v>
      </c>
      <c r="H3">
        <v>2</v>
      </c>
      <c r="I3" t="s">
        <v>1003</v>
      </c>
      <c r="J3" t="s">
        <v>1004</v>
      </c>
      <c r="K3" t="s">
        <v>1005</v>
      </c>
      <c r="L3">
        <v>1368</v>
      </c>
      <c r="N3">
        <v>1011</v>
      </c>
      <c r="O3" t="s">
        <v>1006</v>
      </c>
      <c r="P3" t="s">
        <v>1006</v>
      </c>
      <c r="Q3">
        <v>1</v>
      </c>
      <c r="W3">
        <v>0</v>
      </c>
      <c r="X3">
        <v>1753337916</v>
      </c>
      <c r="Y3">
        <v>0.7</v>
      </c>
      <c r="AA3">
        <v>0</v>
      </c>
      <c r="AB3">
        <v>32.090000000000003</v>
      </c>
      <c r="AC3">
        <v>12.1</v>
      </c>
      <c r="AD3">
        <v>0</v>
      </c>
      <c r="AE3">
        <v>0</v>
      </c>
      <c r="AF3">
        <v>32.090000000000003</v>
      </c>
      <c r="AG3">
        <v>12.1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0</v>
      </c>
      <c r="AP3">
        <v>0</v>
      </c>
      <c r="AQ3">
        <v>1</v>
      </c>
      <c r="AR3">
        <v>0</v>
      </c>
      <c r="AT3">
        <v>0.7</v>
      </c>
      <c r="AV3">
        <v>0</v>
      </c>
      <c r="AW3">
        <v>2</v>
      </c>
      <c r="AX3">
        <v>51868250</v>
      </c>
      <c r="AY3">
        <v>1</v>
      </c>
      <c r="AZ3">
        <v>0</v>
      </c>
      <c r="BA3">
        <v>3</v>
      </c>
      <c r="BB3">
        <v>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22.463000000000001</v>
      </c>
      <c r="BL3">
        <v>8.4700000000000006</v>
      </c>
      <c r="BM3">
        <v>0</v>
      </c>
      <c r="BN3">
        <v>0</v>
      </c>
      <c r="BO3">
        <v>0</v>
      </c>
      <c r="BP3">
        <v>1</v>
      </c>
      <c r="BQ3">
        <v>0</v>
      </c>
      <c r="BR3">
        <v>22.463000000000001</v>
      </c>
      <c r="BS3">
        <v>8.4700000000000006</v>
      </c>
      <c r="BT3">
        <v>0</v>
      </c>
      <c r="BU3">
        <v>0</v>
      </c>
      <c r="BV3">
        <v>0</v>
      </c>
      <c r="BW3">
        <v>1</v>
      </c>
      <c r="CX3">
        <f>Y3*Source!I24</f>
        <v>0.189</v>
      </c>
      <c r="CY3">
        <f>AB3</f>
        <v>32.090000000000003</v>
      </c>
      <c r="CZ3">
        <f>AF3</f>
        <v>32.090000000000003</v>
      </c>
      <c r="DA3">
        <f>AJ3</f>
        <v>1</v>
      </c>
      <c r="DB3">
        <f t="shared" si="0"/>
        <v>22.46</v>
      </c>
      <c r="DC3">
        <f t="shared" si="1"/>
        <v>8.4700000000000006</v>
      </c>
    </row>
    <row r="4" spans="1:107" x14ac:dyDescent="0.2">
      <c r="A4">
        <f>ROW(Source!A24)</f>
        <v>24</v>
      </c>
      <c r="B4">
        <v>51866573</v>
      </c>
      <c r="C4">
        <v>51866866</v>
      </c>
      <c r="D4">
        <v>39127873</v>
      </c>
      <c r="E4">
        <v>1</v>
      </c>
      <c r="F4">
        <v>1</v>
      </c>
      <c r="G4">
        <v>1</v>
      </c>
      <c r="H4">
        <v>2</v>
      </c>
      <c r="I4" t="s">
        <v>1007</v>
      </c>
      <c r="J4" t="s">
        <v>1008</v>
      </c>
      <c r="K4" t="s">
        <v>1009</v>
      </c>
      <c r="L4">
        <v>1368</v>
      </c>
      <c r="N4">
        <v>1011</v>
      </c>
      <c r="O4" t="s">
        <v>1006</v>
      </c>
      <c r="P4" t="s">
        <v>1006</v>
      </c>
      <c r="Q4">
        <v>1</v>
      </c>
      <c r="W4">
        <v>0</v>
      </c>
      <c r="X4">
        <v>2133576372</v>
      </c>
      <c r="Y4">
        <v>1.45</v>
      </c>
      <c r="AA4">
        <v>0</v>
      </c>
      <c r="AB4">
        <v>59.38</v>
      </c>
      <c r="AC4">
        <v>9</v>
      </c>
      <c r="AD4">
        <v>0</v>
      </c>
      <c r="AE4">
        <v>0</v>
      </c>
      <c r="AF4">
        <v>59.38</v>
      </c>
      <c r="AG4">
        <v>9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0</v>
      </c>
      <c r="AP4">
        <v>0</v>
      </c>
      <c r="AQ4">
        <v>1</v>
      </c>
      <c r="AR4">
        <v>0</v>
      </c>
      <c r="AT4">
        <v>1.45</v>
      </c>
      <c r="AV4">
        <v>0</v>
      </c>
      <c r="AW4">
        <v>2</v>
      </c>
      <c r="AX4">
        <v>51868251</v>
      </c>
      <c r="AY4">
        <v>1</v>
      </c>
      <c r="AZ4">
        <v>0</v>
      </c>
      <c r="BA4">
        <v>4</v>
      </c>
      <c r="BB4">
        <v>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86.100999999999999</v>
      </c>
      <c r="BL4">
        <v>13.05</v>
      </c>
      <c r="BM4">
        <v>0</v>
      </c>
      <c r="BN4">
        <v>0</v>
      </c>
      <c r="BO4">
        <v>0</v>
      </c>
      <c r="BP4">
        <v>1</v>
      </c>
      <c r="BQ4">
        <v>0</v>
      </c>
      <c r="BR4">
        <v>86.100999999999999</v>
      </c>
      <c r="BS4">
        <v>13.05</v>
      </c>
      <c r="BT4">
        <v>0</v>
      </c>
      <c r="BU4">
        <v>0</v>
      </c>
      <c r="BV4">
        <v>0</v>
      </c>
      <c r="BW4">
        <v>1</v>
      </c>
      <c r="CX4">
        <f>Y4*Source!I24</f>
        <v>0.39150000000000001</v>
      </c>
      <c r="CY4">
        <f>AB4</f>
        <v>59.38</v>
      </c>
      <c r="CZ4">
        <f>AF4</f>
        <v>59.38</v>
      </c>
      <c r="DA4">
        <f>AJ4</f>
        <v>1</v>
      </c>
      <c r="DB4">
        <f t="shared" si="0"/>
        <v>86.1</v>
      </c>
      <c r="DC4">
        <f t="shared" si="1"/>
        <v>13.05</v>
      </c>
    </row>
    <row r="5" spans="1:107" x14ac:dyDescent="0.2">
      <c r="A5">
        <f>ROW(Source!A24)</f>
        <v>24</v>
      </c>
      <c r="B5">
        <v>51866573</v>
      </c>
      <c r="C5">
        <v>51866866</v>
      </c>
      <c r="D5">
        <v>39129269</v>
      </c>
      <c r="E5">
        <v>1</v>
      </c>
      <c r="F5">
        <v>1</v>
      </c>
      <c r="G5">
        <v>1</v>
      </c>
      <c r="H5">
        <v>2</v>
      </c>
      <c r="I5" t="s">
        <v>1010</v>
      </c>
      <c r="J5" t="s">
        <v>1011</v>
      </c>
      <c r="K5" t="s">
        <v>1012</v>
      </c>
      <c r="L5">
        <v>1368</v>
      </c>
      <c r="N5">
        <v>1011</v>
      </c>
      <c r="O5" t="s">
        <v>1006</v>
      </c>
      <c r="P5" t="s">
        <v>1006</v>
      </c>
      <c r="Q5">
        <v>1</v>
      </c>
      <c r="W5">
        <v>0</v>
      </c>
      <c r="X5">
        <v>1159152410</v>
      </c>
      <c r="Y5">
        <v>2.89</v>
      </c>
      <c r="AA5">
        <v>0</v>
      </c>
      <c r="AB5">
        <v>1.69</v>
      </c>
      <c r="AC5">
        <v>0</v>
      </c>
      <c r="AD5">
        <v>0</v>
      </c>
      <c r="AE5">
        <v>0</v>
      </c>
      <c r="AF5">
        <v>1.69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0</v>
      </c>
      <c r="AP5">
        <v>0</v>
      </c>
      <c r="AQ5">
        <v>1</v>
      </c>
      <c r="AR5">
        <v>0</v>
      </c>
      <c r="AT5">
        <v>2.89</v>
      </c>
      <c r="AV5">
        <v>0</v>
      </c>
      <c r="AW5">
        <v>2</v>
      </c>
      <c r="AX5">
        <v>51868252</v>
      </c>
      <c r="AY5">
        <v>1</v>
      </c>
      <c r="AZ5">
        <v>0</v>
      </c>
      <c r="BA5">
        <v>5</v>
      </c>
      <c r="BB5">
        <v>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4.8841000000000001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4.8841000000000001</v>
      </c>
      <c r="BS5">
        <v>0</v>
      </c>
      <c r="BT5">
        <v>0</v>
      </c>
      <c r="BU5">
        <v>0</v>
      </c>
      <c r="BV5">
        <v>0</v>
      </c>
      <c r="BW5">
        <v>1</v>
      </c>
      <c r="CX5">
        <f>Y5*Source!I24</f>
        <v>0.7803000000000001</v>
      </c>
      <c r="CY5">
        <f>AB5</f>
        <v>1.69</v>
      </c>
      <c r="CZ5">
        <f>AF5</f>
        <v>1.69</v>
      </c>
      <c r="DA5">
        <f>AJ5</f>
        <v>1</v>
      </c>
      <c r="DB5">
        <f t="shared" si="0"/>
        <v>4.88</v>
      </c>
      <c r="DC5">
        <f t="shared" si="1"/>
        <v>0</v>
      </c>
    </row>
    <row r="6" spans="1:107" x14ac:dyDescent="0.2">
      <c r="A6">
        <f>ROW(Source!A24)</f>
        <v>24</v>
      </c>
      <c r="B6">
        <v>51866573</v>
      </c>
      <c r="C6">
        <v>51866866</v>
      </c>
      <c r="D6">
        <v>39117962</v>
      </c>
      <c r="E6">
        <v>1</v>
      </c>
      <c r="F6">
        <v>1</v>
      </c>
      <c r="G6">
        <v>1</v>
      </c>
      <c r="H6">
        <v>3</v>
      </c>
      <c r="I6" t="s">
        <v>1013</v>
      </c>
      <c r="J6" t="s">
        <v>1014</v>
      </c>
      <c r="K6" t="s">
        <v>98</v>
      </c>
      <c r="L6">
        <v>1348</v>
      </c>
      <c r="N6">
        <v>1009</v>
      </c>
      <c r="O6" t="s">
        <v>99</v>
      </c>
      <c r="P6" t="s">
        <v>99</v>
      </c>
      <c r="Q6">
        <v>1000</v>
      </c>
      <c r="W6">
        <v>0</v>
      </c>
      <c r="X6">
        <v>-150994421</v>
      </c>
      <c r="Y6">
        <v>10.66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0</v>
      </c>
      <c r="AP6">
        <v>0</v>
      </c>
      <c r="AQ6">
        <v>1</v>
      </c>
      <c r="AR6">
        <v>0</v>
      </c>
      <c r="AT6">
        <v>10.66</v>
      </c>
      <c r="AV6">
        <v>0</v>
      </c>
      <c r="AW6">
        <v>2</v>
      </c>
      <c r="AX6">
        <v>51868253</v>
      </c>
      <c r="AY6">
        <v>1</v>
      </c>
      <c r="AZ6">
        <v>0</v>
      </c>
      <c r="BA6">
        <v>6</v>
      </c>
      <c r="BB6">
        <v>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2.8782000000000001</v>
      </c>
      <c r="CY6">
        <f>AA6</f>
        <v>0</v>
      </c>
      <c r="CZ6">
        <f>AE6</f>
        <v>0</v>
      </c>
      <c r="DA6">
        <f>AI6</f>
        <v>1</v>
      </c>
      <c r="DB6">
        <f t="shared" si="0"/>
        <v>0</v>
      </c>
      <c r="DC6">
        <f t="shared" si="1"/>
        <v>0</v>
      </c>
    </row>
    <row r="7" spans="1:107" x14ac:dyDescent="0.2">
      <c r="A7">
        <f>ROW(Source!A25)</f>
        <v>25</v>
      </c>
      <c r="B7">
        <v>51866571</v>
      </c>
      <c r="C7">
        <v>51866866</v>
      </c>
      <c r="D7">
        <v>23131263</v>
      </c>
      <c r="E7">
        <v>1</v>
      </c>
      <c r="F7">
        <v>1</v>
      </c>
      <c r="G7">
        <v>1</v>
      </c>
      <c r="H7">
        <v>1</v>
      </c>
      <c r="I7" t="s">
        <v>999</v>
      </c>
      <c r="K7" t="s">
        <v>1000</v>
      </c>
      <c r="L7">
        <v>1369</v>
      </c>
      <c r="N7">
        <v>1013</v>
      </c>
      <c r="O7" t="s">
        <v>71</v>
      </c>
      <c r="P7" t="s">
        <v>71</v>
      </c>
      <c r="Q7">
        <v>1</v>
      </c>
      <c r="W7">
        <v>0</v>
      </c>
      <c r="X7">
        <v>920778480</v>
      </c>
      <c r="Y7">
        <v>128.72999999999999</v>
      </c>
      <c r="AA7">
        <v>0</v>
      </c>
      <c r="AB7">
        <v>0</v>
      </c>
      <c r="AC7">
        <v>0</v>
      </c>
      <c r="AD7">
        <v>150.6</v>
      </c>
      <c r="AE7">
        <v>0</v>
      </c>
      <c r="AF7">
        <v>0</v>
      </c>
      <c r="AG7">
        <v>0</v>
      </c>
      <c r="AH7">
        <v>150.6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0</v>
      </c>
      <c r="AQ7">
        <v>1</v>
      </c>
      <c r="AR7">
        <v>0</v>
      </c>
      <c r="AT7">
        <v>128.72999999999999</v>
      </c>
      <c r="AV7">
        <v>1</v>
      </c>
      <c r="AW7">
        <v>2</v>
      </c>
      <c r="AX7">
        <v>51868248</v>
      </c>
      <c r="AY7">
        <v>1</v>
      </c>
      <c r="AZ7">
        <v>0</v>
      </c>
      <c r="BA7">
        <v>7</v>
      </c>
      <c r="BB7">
        <v>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19386.738000000001</v>
      </c>
      <c r="BN7">
        <v>128.72999999999999</v>
      </c>
      <c r="BO7">
        <v>0</v>
      </c>
      <c r="BP7">
        <v>1</v>
      </c>
      <c r="BQ7">
        <v>0</v>
      </c>
      <c r="BR7">
        <v>0</v>
      </c>
      <c r="BS7">
        <v>0</v>
      </c>
      <c r="BT7">
        <v>19386.738000000001</v>
      </c>
      <c r="BU7">
        <v>128.72999999999999</v>
      </c>
      <c r="BV7">
        <v>0</v>
      </c>
      <c r="BW7">
        <v>1</v>
      </c>
      <c r="CX7">
        <f>Y7*Source!I25</f>
        <v>34.757100000000001</v>
      </c>
      <c r="CY7">
        <f>AD7</f>
        <v>150.6</v>
      </c>
      <c r="CZ7">
        <f>AH7</f>
        <v>150.6</v>
      </c>
      <c r="DA7">
        <f>AL7</f>
        <v>1</v>
      </c>
      <c r="DB7">
        <f t="shared" si="0"/>
        <v>19386.740000000002</v>
      </c>
      <c r="DC7">
        <f t="shared" si="1"/>
        <v>0</v>
      </c>
    </row>
    <row r="8" spans="1:107" x14ac:dyDescent="0.2">
      <c r="A8">
        <f>ROW(Source!A25)</f>
        <v>25</v>
      </c>
      <c r="B8">
        <v>51866571</v>
      </c>
      <c r="C8">
        <v>51866866</v>
      </c>
      <c r="D8">
        <v>121548</v>
      </c>
      <c r="E8">
        <v>1</v>
      </c>
      <c r="F8">
        <v>1</v>
      </c>
      <c r="G8">
        <v>1</v>
      </c>
      <c r="H8">
        <v>1</v>
      </c>
      <c r="I8" t="s">
        <v>96</v>
      </c>
      <c r="K8" t="s">
        <v>1001</v>
      </c>
      <c r="L8">
        <v>608254</v>
      </c>
      <c r="N8">
        <v>1013</v>
      </c>
      <c r="O8" t="s">
        <v>1002</v>
      </c>
      <c r="P8" t="s">
        <v>1002</v>
      </c>
      <c r="Q8">
        <v>1</v>
      </c>
      <c r="W8">
        <v>0</v>
      </c>
      <c r="X8">
        <v>-185737400</v>
      </c>
      <c r="Y8">
        <v>2.15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0</v>
      </c>
      <c r="AP8">
        <v>0</v>
      </c>
      <c r="AQ8">
        <v>1</v>
      </c>
      <c r="AR8">
        <v>0</v>
      </c>
      <c r="AT8">
        <v>2.15</v>
      </c>
      <c r="AV8">
        <v>2</v>
      </c>
      <c r="AW8">
        <v>2</v>
      </c>
      <c r="AX8">
        <v>51868249</v>
      </c>
      <c r="AY8">
        <v>1</v>
      </c>
      <c r="AZ8">
        <v>0</v>
      </c>
      <c r="BA8">
        <v>8</v>
      </c>
      <c r="BB8">
        <v>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2.15</v>
      </c>
      <c r="BP8">
        <v>1</v>
      </c>
      <c r="BQ8">
        <v>0</v>
      </c>
      <c r="BR8">
        <v>0</v>
      </c>
      <c r="BS8">
        <v>0</v>
      </c>
      <c r="BT8">
        <v>0</v>
      </c>
      <c r="BU8">
        <v>0</v>
      </c>
      <c r="BV8">
        <v>2.15</v>
      </c>
      <c r="BW8">
        <v>1</v>
      </c>
      <c r="CX8">
        <f>Y8*Source!I25</f>
        <v>0.58050000000000002</v>
      </c>
      <c r="CY8">
        <f>AD8</f>
        <v>0</v>
      </c>
      <c r="CZ8">
        <f>AH8</f>
        <v>0</v>
      </c>
      <c r="DA8">
        <f>AL8</f>
        <v>1</v>
      </c>
      <c r="DB8">
        <f t="shared" si="0"/>
        <v>0</v>
      </c>
      <c r="DC8">
        <f t="shared" si="1"/>
        <v>0</v>
      </c>
    </row>
    <row r="9" spans="1:107" x14ac:dyDescent="0.2">
      <c r="A9">
        <f>ROW(Source!A25)</f>
        <v>25</v>
      </c>
      <c r="B9">
        <v>51866571</v>
      </c>
      <c r="C9">
        <v>51866866</v>
      </c>
      <c r="D9">
        <v>39127752</v>
      </c>
      <c r="E9">
        <v>1</v>
      </c>
      <c r="F9">
        <v>1</v>
      </c>
      <c r="G9">
        <v>1</v>
      </c>
      <c r="H9">
        <v>2</v>
      </c>
      <c r="I9" t="s">
        <v>1003</v>
      </c>
      <c r="J9" t="s">
        <v>1004</v>
      </c>
      <c r="K9" t="s">
        <v>1005</v>
      </c>
      <c r="L9">
        <v>1368</v>
      </c>
      <c r="N9">
        <v>1011</v>
      </c>
      <c r="O9" t="s">
        <v>1006</v>
      </c>
      <c r="P9" t="s">
        <v>1006</v>
      </c>
      <c r="Q9">
        <v>1</v>
      </c>
      <c r="W9">
        <v>0</v>
      </c>
      <c r="X9">
        <v>1753337916</v>
      </c>
      <c r="Y9">
        <v>0.7</v>
      </c>
      <c r="AA9">
        <v>0</v>
      </c>
      <c r="AB9">
        <v>308.94</v>
      </c>
      <c r="AC9">
        <v>239.1</v>
      </c>
      <c r="AD9">
        <v>0</v>
      </c>
      <c r="AE9">
        <v>0</v>
      </c>
      <c r="AF9">
        <v>308.94</v>
      </c>
      <c r="AG9">
        <v>239.1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0</v>
      </c>
      <c r="AP9">
        <v>0</v>
      </c>
      <c r="AQ9">
        <v>1</v>
      </c>
      <c r="AR9">
        <v>0</v>
      </c>
      <c r="AT9">
        <v>0.7</v>
      </c>
      <c r="AV9">
        <v>0</v>
      </c>
      <c r="AW9">
        <v>2</v>
      </c>
      <c r="AX9">
        <v>51868250</v>
      </c>
      <c r="AY9">
        <v>1</v>
      </c>
      <c r="AZ9">
        <v>0</v>
      </c>
      <c r="BA9">
        <v>9</v>
      </c>
      <c r="BB9">
        <v>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216.25800000000001</v>
      </c>
      <c r="BL9">
        <v>167.37</v>
      </c>
      <c r="BM9">
        <v>0</v>
      </c>
      <c r="BN9">
        <v>0</v>
      </c>
      <c r="BO9">
        <v>0</v>
      </c>
      <c r="BP9">
        <v>1</v>
      </c>
      <c r="BQ9">
        <v>0</v>
      </c>
      <c r="BR9">
        <v>216.25800000000001</v>
      </c>
      <c r="BS9">
        <v>167.37</v>
      </c>
      <c r="BT9">
        <v>0</v>
      </c>
      <c r="BU9">
        <v>0</v>
      </c>
      <c r="BV9">
        <v>0</v>
      </c>
      <c r="BW9">
        <v>1</v>
      </c>
      <c r="CX9">
        <f>Y9*Source!I25</f>
        <v>0.189</v>
      </c>
      <c r="CY9">
        <f>AB9</f>
        <v>308.94</v>
      </c>
      <c r="CZ9">
        <f>AF9</f>
        <v>308.94</v>
      </c>
      <c r="DA9">
        <f>AJ9</f>
        <v>1</v>
      </c>
      <c r="DB9">
        <f t="shared" si="0"/>
        <v>216.26</v>
      </c>
      <c r="DC9">
        <f t="shared" si="1"/>
        <v>167.37</v>
      </c>
    </row>
    <row r="10" spans="1:107" x14ac:dyDescent="0.2">
      <c r="A10">
        <f>ROW(Source!A25)</f>
        <v>25</v>
      </c>
      <c r="B10">
        <v>51866571</v>
      </c>
      <c r="C10">
        <v>51866866</v>
      </c>
      <c r="D10">
        <v>39127873</v>
      </c>
      <c r="E10">
        <v>1</v>
      </c>
      <c r="F10">
        <v>1</v>
      </c>
      <c r="G10">
        <v>1</v>
      </c>
      <c r="H10">
        <v>2</v>
      </c>
      <c r="I10" t="s">
        <v>1007</v>
      </c>
      <c r="J10" t="s">
        <v>1008</v>
      </c>
      <c r="K10" t="s">
        <v>1009</v>
      </c>
      <c r="L10">
        <v>1368</v>
      </c>
      <c r="N10">
        <v>1011</v>
      </c>
      <c r="O10" t="s">
        <v>1006</v>
      </c>
      <c r="P10" t="s">
        <v>1006</v>
      </c>
      <c r="Q10">
        <v>1</v>
      </c>
      <c r="W10">
        <v>0</v>
      </c>
      <c r="X10">
        <v>2133576372</v>
      </c>
      <c r="Y10">
        <v>1.45</v>
      </c>
      <c r="AA10">
        <v>0</v>
      </c>
      <c r="AB10">
        <v>550.02</v>
      </c>
      <c r="AC10">
        <v>177.84</v>
      </c>
      <c r="AD10">
        <v>0</v>
      </c>
      <c r="AE10">
        <v>0</v>
      </c>
      <c r="AF10">
        <v>550.02</v>
      </c>
      <c r="AG10">
        <v>177.84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0</v>
      </c>
      <c r="AP10">
        <v>0</v>
      </c>
      <c r="AQ10">
        <v>1</v>
      </c>
      <c r="AR10">
        <v>0</v>
      </c>
      <c r="AT10">
        <v>1.45</v>
      </c>
      <c r="AV10">
        <v>0</v>
      </c>
      <c r="AW10">
        <v>2</v>
      </c>
      <c r="AX10">
        <v>51868251</v>
      </c>
      <c r="AY10">
        <v>1</v>
      </c>
      <c r="AZ10">
        <v>0</v>
      </c>
      <c r="BA10">
        <v>10</v>
      </c>
      <c r="BB10">
        <v>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797.529</v>
      </c>
      <c r="BL10">
        <v>257.86799999999999</v>
      </c>
      <c r="BM10">
        <v>0</v>
      </c>
      <c r="BN10">
        <v>0</v>
      </c>
      <c r="BO10">
        <v>0</v>
      </c>
      <c r="BP10">
        <v>1</v>
      </c>
      <c r="BQ10">
        <v>0</v>
      </c>
      <c r="BR10">
        <v>797.529</v>
      </c>
      <c r="BS10">
        <v>257.86799999999999</v>
      </c>
      <c r="BT10">
        <v>0</v>
      </c>
      <c r="BU10">
        <v>0</v>
      </c>
      <c r="BV10">
        <v>0</v>
      </c>
      <c r="BW10">
        <v>1</v>
      </c>
      <c r="CX10">
        <f>Y10*Source!I25</f>
        <v>0.39150000000000001</v>
      </c>
      <c r="CY10">
        <f>AB10</f>
        <v>550.02</v>
      </c>
      <c r="CZ10">
        <f>AF10</f>
        <v>550.02</v>
      </c>
      <c r="DA10">
        <f>AJ10</f>
        <v>1</v>
      </c>
      <c r="DB10">
        <f t="shared" si="0"/>
        <v>797.53</v>
      </c>
      <c r="DC10">
        <f t="shared" si="1"/>
        <v>257.87</v>
      </c>
    </row>
    <row r="11" spans="1:107" x14ac:dyDescent="0.2">
      <c r="A11">
        <f>ROW(Source!A25)</f>
        <v>25</v>
      </c>
      <c r="B11">
        <v>51866571</v>
      </c>
      <c r="C11">
        <v>51866866</v>
      </c>
      <c r="D11">
        <v>39129269</v>
      </c>
      <c r="E11">
        <v>1</v>
      </c>
      <c r="F11">
        <v>1</v>
      </c>
      <c r="G11">
        <v>1</v>
      </c>
      <c r="H11">
        <v>2</v>
      </c>
      <c r="I11" t="s">
        <v>1010</v>
      </c>
      <c r="J11" t="s">
        <v>1011</v>
      </c>
      <c r="K11" t="s">
        <v>1012</v>
      </c>
      <c r="L11">
        <v>1368</v>
      </c>
      <c r="N11">
        <v>1011</v>
      </c>
      <c r="O11" t="s">
        <v>1006</v>
      </c>
      <c r="P11" t="s">
        <v>1006</v>
      </c>
      <c r="Q11">
        <v>1</v>
      </c>
      <c r="W11">
        <v>0</v>
      </c>
      <c r="X11">
        <v>1159152410</v>
      </c>
      <c r="Y11">
        <v>2.89</v>
      </c>
      <c r="AA11">
        <v>0</v>
      </c>
      <c r="AB11">
        <v>5.39</v>
      </c>
      <c r="AC11">
        <v>0</v>
      </c>
      <c r="AD11">
        <v>0</v>
      </c>
      <c r="AE11">
        <v>0</v>
      </c>
      <c r="AF11">
        <v>5.39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0</v>
      </c>
      <c r="AP11">
        <v>0</v>
      </c>
      <c r="AQ11">
        <v>1</v>
      </c>
      <c r="AR11">
        <v>0</v>
      </c>
      <c r="AT11">
        <v>2.89</v>
      </c>
      <c r="AV11">
        <v>0</v>
      </c>
      <c r="AW11">
        <v>2</v>
      </c>
      <c r="AX11">
        <v>51868252</v>
      </c>
      <c r="AY11">
        <v>1</v>
      </c>
      <c r="AZ11">
        <v>0</v>
      </c>
      <c r="BA11">
        <v>11</v>
      </c>
      <c r="BB11">
        <v>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15.5771</v>
      </c>
      <c r="BL11">
        <v>0</v>
      </c>
      <c r="BM11">
        <v>0</v>
      </c>
      <c r="BN11">
        <v>0</v>
      </c>
      <c r="BO11">
        <v>0</v>
      </c>
      <c r="BP11">
        <v>1</v>
      </c>
      <c r="BQ11">
        <v>0</v>
      </c>
      <c r="BR11">
        <v>15.5771</v>
      </c>
      <c r="BS11">
        <v>0</v>
      </c>
      <c r="BT11">
        <v>0</v>
      </c>
      <c r="BU11">
        <v>0</v>
      </c>
      <c r="BV11">
        <v>0</v>
      </c>
      <c r="BW11">
        <v>1</v>
      </c>
      <c r="CX11">
        <f>Y11*Source!I25</f>
        <v>0.7803000000000001</v>
      </c>
      <c r="CY11">
        <f>AB11</f>
        <v>5.39</v>
      </c>
      <c r="CZ11">
        <f>AF11</f>
        <v>5.39</v>
      </c>
      <c r="DA11">
        <f>AJ11</f>
        <v>1</v>
      </c>
      <c r="DB11">
        <f t="shared" si="0"/>
        <v>15.58</v>
      </c>
      <c r="DC11">
        <f t="shared" si="1"/>
        <v>0</v>
      </c>
    </row>
    <row r="12" spans="1:107" x14ac:dyDescent="0.2">
      <c r="A12">
        <f>ROW(Source!A25)</f>
        <v>25</v>
      </c>
      <c r="B12">
        <v>51866571</v>
      </c>
      <c r="C12">
        <v>51866866</v>
      </c>
      <c r="D12">
        <v>39117962</v>
      </c>
      <c r="E12">
        <v>1</v>
      </c>
      <c r="F12">
        <v>1</v>
      </c>
      <c r="G12">
        <v>1</v>
      </c>
      <c r="H12">
        <v>3</v>
      </c>
      <c r="I12" t="s">
        <v>1013</v>
      </c>
      <c r="J12" t="s">
        <v>1014</v>
      </c>
      <c r="K12" t="s">
        <v>98</v>
      </c>
      <c r="L12">
        <v>1348</v>
      </c>
      <c r="N12">
        <v>1009</v>
      </c>
      <c r="O12" t="s">
        <v>99</v>
      </c>
      <c r="P12" t="s">
        <v>99</v>
      </c>
      <c r="Q12">
        <v>1000</v>
      </c>
      <c r="W12">
        <v>0</v>
      </c>
      <c r="X12">
        <v>-150994421</v>
      </c>
      <c r="Y12">
        <v>10.66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0</v>
      </c>
      <c r="AP12">
        <v>0</v>
      </c>
      <c r="AQ12">
        <v>1</v>
      </c>
      <c r="AR12">
        <v>0</v>
      </c>
      <c r="AT12">
        <v>10.66</v>
      </c>
      <c r="AV12">
        <v>0</v>
      </c>
      <c r="AW12">
        <v>2</v>
      </c>
      <c r="AX12">
        <v>51868253</v>
      </c>
      <c r="AY12">
        <v>1</v>
      </c>
      <c r="AZ12">
        <v>0</v>
      </c>
      <c r="BA12">
        <v>12</v>
      </c>
      <c r="BB12">
        <v>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Y12*Source!I25</f>
        <v>2.8782000000000001</v>
      </c>
      <c r="CY12">
        <f>AA12</f>
        <v>0</v>
      </c>
      <c r="CZ12">
        <f>AE12</f>
        <v>0</v>
      </c>
      <c r="DA12">
        <f>AI12</f>
        <v>1</v>
      </c>
      <c r="DB12">
        <f t="shared" si="0"/>
        <v>0</v>
      </c>
      <c r="DC12">
        <f t="shared" si="1"/>
        <v>0</v>
      </c>
    </row>
    <row r="13" spans="1:107" x14ac:dyDescent="0.2">
      <c r="A13">
        <f>ROW(Source!A26)</f>
        <v>26</v>
      </c>
      <c r="B13">
        <v>51866573</v>
      </c>
      <c r="C13">
        <v>51866881</v>
      </c>
      <c r="D13">
        <v>23131038</v>
      </c>
      <c r="E13">
        <v>1</v>
      </c>
      <c r="F13">
        <v>1</v>
      </c>
      <c r="G13">
        <v>1</v>
      </c>
      <c r="H13">
        <v>1</v>
      </c>
      <c r="I13" t="s">
        <v>1015</v>
      </c>
      <c r="K13" t="s">
        <v>1016</v>
      </c>
      <c r="L13">
        <v>1369</v>
      </c>
      <c r="N13">
        <v>1013</v>
      </c>
      <c r="O13" t="s">
        <v>71</v>
      </c>
      <c r="P13" t="s">
        <v>71</v>
      </c>
      <c r="Q13">
        <v>1</v>
      </c>
      <c r="W13">
        <v>0</v>
      </c>
      <c r="X13">
        <v>-1903398286</v>
      </c>
      <c r="Y13">
        <v>46.11</v>
      </c>
      <c r="AA13">
        <v>0</v>
      </c>
      <c r="AB13">
        <v>0</v>
      </c>
      <c r="AC13">
        <v>0</v>
      </c>
      <c r="AD13">
        <v>7.49</v>
      </c>
      <c r="AE13">
        <v>0</v>
      </c>
      <c r="AF13">
        <v>0</v>
      </c>
      <c r="AG13">
        <v>0</v>
      </c>
      <c r="AH13">
        <v>7.49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0</v>
      </c>
      <c r="AP13">
        <v>0</v>
      </c>
      <c r="AQ13">
        <v>1</v>
      </c>
      <c r="AR13">
        <v>0</v>
      </c>
      <c r="AT13">
        <v>46.11</v>
      </c>
      <c r="AV13">
        <v>1</v>
      </c>
      <c r="AW13">
        <v>2</v>
      </c>
      <c r="AX13">
        <v>51868254</v>
      </c>
      <c r="AY13">
        <v>1</v>
      </c>
      <c r="AZ13">
        <v>0</v>
      </c>
      <c r="BA13">
        <v>13</v>
      </c>
      <c r="BB13">
        <v>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345.3639</v>
      </c>
      <c r="BN13">
        <v>46.11</v>
      </c>
      <c r="BO13">
        <v>0</v>
      </c>
      <c r="BP13">
        <v>1</v>
      </c>
      <c r="BQ13">
        <v>0</v>
      </c>
      <c r="BR13">
        <v>0</v>
      </c>
      <c r="BS13">
        <v>0</v>
      </c>
      <c r="BT13">
        <v>345.3639</v>
      </c>
      <c r="BU13">
        <v>46.11</v>
      </c>
      <c r="BV13">
        <v>0</v>
      </c>
      <c r="BW13">
        <v>1</v>
      </c>
      <c r="CX13">
        <f>Y13*Source!I26</f>
        <v>86.686799999999991</v>
      </c>
      <c r="CY13">
        <f>AD13</f>
        <v>7.49</v>
      </c>
      <c r="CZ13">
        <f>AH13</f>
        <v>7.49</v>
      </c>
      <c r="DA13">
        <f>AL13</f>
        <v>1</v>
      </c>
      <c r="DB13">
        <f t="shared" si="0"/>
        <v>345.36</v>
      </c>
      <c r="DC13">
        <f t="shared" si="1"/>
        <v>0</v>
      </c>
    </row>
    <row r="14" spans="1:107" x14ac:dyDescent="0.2">
      <c r="A14">
        <f>ROW(Source!A26)</f>
        <v>26</v>
      </c>
      <c r="B14">
        <v>51866573</v>
      </c>
      <c r="C14">
        <v>51866881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96</v>
      </c>
      <c r="K14" t="s">
        <v>1001</v>
      </c>
      <c r="L14">
        <v>608254</v>
      </c>
      <c r="N14">
        <v>1013</v>
      </c>
      <c r="O14" t="s">
        <v>1002</v>
      </c>
      <c r="P14" t="s">
        <v>1002</v>
      </c>
      <c r="Q14">
        <v>1</v>
      </c>
      <c r="W14">
        <v>0</v>
      </c>
      <c r="X14">
        <v>-185737400</v>
      </c>
      <c r="Y14">
        <v>0.93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0</v>
      </c>
      <c r="AP14">
        <v>0</v>
      </c>
      <c r="AQ14">
        <v>1</v>
      </c>
      <c r="AR14">
        <v>0</v>
      </c>
      <c r="AT14">
        <v>0.93</v>
      </c>
      <c r="AV14">
        <v>2</v>
      </c>
      <c r="AW14">
        <v>2</v>
      </c>
      <c r="AX14">
        <v>51868255</v>
      </c>
      <c r="AY14">
        <v>1</v>
      </c>
      <c r="AZ14">
        <v>0</v>
      </c>
      <c r="BA14">
        <v>14</v>
      </c>
      <c r="BB14">
        <v>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0.93</v>
      </c>
      <c r="BP14">
        <v>1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0.93</v>
      </c>
      <c r="BW14">
        <v>1</v>
      </c>
      <c r="CX14">
        <f>Y14*Source!I26</f>
        <v>1.7484</v>
      </c>
      <c r="CY14">
        <f>AD14</f>
        <v>0</v>
      </c>
      <c r="CZ14">
        <f>AH14</f>
        <v>0</v>
      </c>
      <c r="DA14">
        <f>AL14</f>
        <v>1</v>
      </c>
      <c r="DB14">
        <f t="shared" si="0"/>
        <v>0</v>
      </c>
      <c r="DC14">
        <f t="shared" si="1"/>
        <v>0</v>
      </c>
    </row>
    <row r="15" spans="1:107" x14ac:dyDescent="0.2">
      <c r="A15">
        <f>ROW(Source!A26)</f>
        <v>26</v>
      </c>
      <c r="B15">
        <v>51866573</v>
      </c>
      <c r="C15">
        <v>51866881</v>
      </c>
      <c r="D15">
        <v>39127752</v>
      </c>
      <c r="E15">
        <v>1</v>
      </c>
      <c r="F15">
        <v>1</v>
      </c>
      <c r="G15">
        <v>1</v>
      </c>
      <c r="H15">
        <v>2</v>
      </c>
      <c r="I15" t="s">
        <v>1003</v>
      </c>
      <c r="J15" t="s">
        <v>1004</v>
      </c>
      <c r="K15" t="s">
        <v>1005</v>
      </c>
      <c r="L15">
        <v>1368</v>
      </c>
      <c r="N15">
        <v>1011</v>
      </c>
      <c r="O15" t="s">
        <v>1006</v>
      </c>
      <c r="P15" t="s">
        <v>1006</v>
      </c>
      <c r="Q15">
        <v>1</v>
      </c>
      <c r="W15">
        <v>0</v>
      </c>
      <c r="X15">
        <v>1753337916</v>
      </c>
      <c r="Y15">
        <v>0.93</v>
      </c>
      <c r="AA15">
        <v>0</v>
      </c>
      <c r="AB15">
        <v>32.090000000000003</v>
      </c>
      <c r="AC15">
        <v>12.1</v>
      </c>
      <c r="AD15">
        <v>0</v>
      </c>
      <c r="AE15">
        <v>0</v>
      </c>
      <c r="AF15">
        <v>32.090000000000003</v>
      </c>
      <c r="AG15">
        <v>12.1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0</v>
      </c>
      <c r="AP15">
        <v>0</v>
      </c>
      <c r="AQ15">
        <v>1</v>
      </c>
      <c r="AR15">
        <v>0</v>
      </c>
      <c r="AT15">
        <v>0.93</v>
      </c>
      <c r="AV15">
        <v>0</v>
      </c>
      <c r="AW15">
        <v>2</v>
      </c>
      <c r="AX15">
        <v>51868256</v>
      </c>
      <c r="AY15">
        <v>1</v>
      </c>
      <c r="AZ15">
        <v>0</v>
      </c>
      <c r="BA15">
        <v>15</v>
      </c>
      <c r="BB15">
        <v>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29.843699999999998</v>
      </c>
      <c r="BL15">
        <v>11.253</v>
      </c>
      <c r="BM15">
        <v>0</v>
      </c>
      <c r="BN15">
        <v>0</v>
      </c>
      <c r="BO15">
        <v>0</v>
      </c>
      <c r="BP15">
        <v>1</v>
      </c>
      <c r="BQ15">
        <v>0</v>
      </c>
      <c r="BR15">
        <v>29.843699999999998</v>
      </c>
      <c r="BS15">
        <v>11.253</v>
      </c>
      <c r="BT15">
        <v>0</v>
      </c>
      <c r="BU15">
        <v>0</v>
      </c>
      <c r="BV15">
        <v>0</v>
      </c>
      <c r="BW15">
        <v>1</v>
      </c>
      <c r="CX15">
        <f>Y15*Source!I26</f>
        <v>1.7484</v>
      </c>
      <c r="CY15">
        <f>AB15</f>
        <v>32.090000000000003</v>
      </c>
      <c r="CZ15">
        <f>AF15</f>
        <v>32.090000000000003</v>
      </c>
      <c r="DA15">
        <f>AJ15</f>
        <v>1</v>
      </c>
      <c r="DB15">
        <f t="shared" si="0"/>
        <v>29.84</v>
      </c>
      <c r="DC15">
        <f t="shared" si="1"/>
        <v>11.25</v>
      </c>
    </row>
    <row r="16" spans="1:107" x14ac:dyDescent="0.2">
      <c r="A16">
        <f>ROW(Source!A26)</f>
        <v>26</v>
      </c>
      <c r="B16">
        <v>51866573</v>
      </c>
      <c r="C16">
        <v>51866881</v>
      </c>
      <c r="D16">
        <v>39117962</v>
      </c>
      <c r="E16">
        <v>1</v>
      </c>
      <c r="F16">
        <v>1</v>
      </c>
      <c r="G16">
        <v>1</v>
      </c>
      <c r="H16">
        <v>3</v>
      </c>
      <c r="I16" t="s">
        <v>1013</v>
      </c>
      <c r="J16" t="s">
        <v>1014</v>
      </c>
      <c r="K16" t="s">
        <v>98</v>
      </c>
      <c r="L16">
        <v>1348</v>
      </c>
      <c r="N16">
        <v>1009</v>
      </c>
      <c r="O16" t="s">
        <v>99</v>
      </c>
      <c r="P16" t="s">
        <v>99</v>
      </c>
      <c r="Q16">
        <v>1000</v>
      </c>
      <c r="W16">
        <v>0</v>
      </c>
      <c r="X16">
        <v>-150994421</v>
      </c>
      <c r="Y16">
        <v>3.42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0</v>
      </c>
      <c r="AP16">
        <v>0</v>
      </c>
      <c r="AQ16">
        <v>1</v>
      </c>
      <c r="AR16">
        <v>0</v>
      </c>
      <c r="AT16">
        <v>3.42</v>
      </c>
      <c r="AV16">
        <v>0</v>
      </c>
      <c r="AW16">
        <v>2</v>
      </c>
      <c r="AX16">
        <v>51868257</v>
      </c>
      <c r="AY16">
        <v>1</v>
      </c>
      <c r="AZ16">
        <v>0</v>
      </c>
      <c r="BA16">
        <v>16</v>
      </c>
      <c r="BB16">
        <v>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Y16*Source!I26</f>
        <v>6.4295999999999998</v>
      </c>
      <c r="CY16">
        <f>AA16</f>
        <v>0</v>
      </c>
      <c r="CZ16">
        <f>AE16</f>
        <v>0</v>
      </c>
      <c r="DA16">
        <f>AI16</f>
        <v>1</v>
      </c>
      <c r="DB16">
        <f t="shared" si="0"/>
        <v>0</v>
      </c>
      <c r="DC16">
        <f t="shared" si="1"/>
        <v>0</v>
      </c>
    </row>
    <row r="17" spans="1:107" x14ac:dyDescent="0.2">
      <c r="A17">
        <f>ROW(Source!A27)</f>
        <v>27</v>
      </c>
      <c r="B17">
        <v>51866571</v>
      </c>
      <c r="C17">
        <v>51866881</v>
      </c>
      <c r="D17">
        <v>23131038</v>
      </c>
      <c r="E17">
        <v>1</v>
      </c>
      <c r="F17">
        <v>1</v>
      </c>
      <c r="G17">
        <v>1</v>
      </c>
      <c r="H17">
        <v>1</v>
      </c>
      <c r="I17" t="s">
        <v>1015</v>
      </c>
      <c r="K17" t="s">
        <v>1016</v>
      </c>
      <c r="L17">
        <v>1369</v>
      </c>
      <c r="N17">
        <v>1013</v>
      </c>
      <c r="O17" t="s">
        <v>71</v>
      </c>
      <c r="P17" t="s">
        <v>71</v>
      </c>
      <c r="Q17">
        <v>1</v>
      </c>
      <c r="W17">
        <v>0</v>
      </c>
      <c r="X17">
        <v>-1903398286</v>
      </c>
      <c r="Y17">
        <v>46.11</v>
      </c>
      <c r="AA17">
        <v>0</v>
      </c>
      <c r="AB17">
        <v>0</v>
      </c>
      <c r="AC17">
        <v>0</v>
      </c>
      <c r="AD17">
        <v>147.82</v>
      </c>
      <c r="AE17">
        <v>0</v>
      </c>
      <c r="AF17">
        <v>0</v>
      </c>
      <c r="AG17">
        <v>0</v>
      </c>
      <c r="AH17">
        <v>147.82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0</v>
      </c>
      <c r="AP17">
        <v>0</v>
      </c>
      <c r="AQ17">
        <v>1</v>
      </c>
      <c r="AR17">
        <v>0</v>
      </c>
      <c r="AT17">
        <v>46.11</v>
      </c>
      <c r="AV17">
        <v>1</v>
      </c>
      <c r="AW17">
        <v>2</v>
      </c>
      <c r="AX17">
        <v>51868254</v>
      </c>
      <c r="AY17">
        <v>1</v>
      </c>
      <c r="AZ17">
        <v>0</v>
      </c>
      <c r="BA17">
        <v>17</v>
      </c>
      <c r="BB17">
        <v>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6815.9802</v>
      </c>
      <c r="BN17">
        <v>46.11</v>
      </c>
      <c r="BO17">
        <v>0</v>
      </c>
      <c r="BP17">
        <v>1</v>
      </c>
      <c r="BQ17">
        <v>0</v>
      </c>
      <c r="BR17">
        <v>0</v>
      </c>
      <c r="BS17">
        <v>0</v>
      </c>
      <c r="BT17">
        <v>6815.9802</v>
      </c>
      <c r="BU17">
        <v>46.11</v>
      </c>
      <c r="BV17">
        <v>0</v>
      </c>
      <c r="BW17">
        <v>1</v>
      </c>
      <c r="CX17">
        <f>Y17*Source!I27</f>
        <v>86.686799999999991</v>
      </c>
      <c r="CY17">
        <f>AD17</f>
        <v>147.82</v>
      </c>
      <c r="CZ17">
        <f>AH17</f>
        <v>147.82</v>
      </c>
      <c r="DA17">
        <f>AL17</f>
        <v>1</v>
      </c>
      <c r="DB17">
        <f t="shared" si="0"/>
        <v>6815.98</v>
      </c>
      <c r="DC17">
        <f t="shared" si="1"/>
        <v>0</v>
      </c>
    </row>
    <row r="18" spans="1:107" x14ac:dyDescent="0.2">
      <c r="A18">
        <f>ROW(Source!A27)</f>
        <v>27</v>
      </c>
      <c r="B18">
        <v>51866571</v>
      </c>
      <c r="C18">
        <v>51866881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96</v>
      </c>
      <c r="K18" t="s">
        <v>1001</v>
      </c>
      <c r="L18">
        <v>608254</v>
      </c>
      <c r="N18">
        <v>1013</v>
      </c>
      <c r="O18" t="s">
        <v>1002</v>
      </c>
      <c r="P18" t="s">
        <v>1002</v>
      </c>
      <c r="Q18">
        <v>1</v>
      </c>
      <c r="W18">
        <v>0</v>
      </c>
      <c r="X18">
        <v>-185737400</v>
      </c>
      <c r="Y18">
        <v>0.93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0</v>
      </c>
      <c r="AP18">
        <v>0</v>
      </c>
      <c r="AQ18">
        <v>1</v>
      </c>
      <c r="AR18">
        <v>0</v>
      </c>
      <c r="AT18">
        <v>0.93</v>
      </c>
      <c r="AV18">
        <v>2</v>
      </c>
      <c r="AW18">
        <v>2</v>
      </c>
      <c r="AX18">
        <v>51868255</v>
      </c>
      <c r="AY18">
        <v>1</v>
      </c>
      <c r="AZ18">
        <v>0</v>
      </c>
      <c r="BA18">
        <v>18</v>
      </c>
      <c r="BB18">
        <v>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0.93</v>
      </c>
      <c r="BP18">
        <v>1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0.93</v>
      </c>
      <c r="BW18">
        <v>1</v>
      </c>
      <c r="CX18">
        <f>Y18*Source!I27</f>
        <v>1.7484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 x14ac:dyDescent="0.2">
      <c r="A19">
        <f>ROW(Source!A27)</f>
        <v>27</v>
      </c>
      <c r="B19">
        <v>51866571</v>
      </c>
      <c r="C19">
        <v>51866881</v>
      </c>
      <c r="D19">
        <v>39127752</v>
      </c>
      <c r="E19">
        <v>1</v>
      </c>
      <c r="F19">
        <v>1</v>
      </c>
      <c r="G19">
        <v>1</v>
      </c>
      <c r="H19">
        <v>2</v>
      </c>
      <c r="I19" t="s">
        <v>1003</v>
      </c>
      <c r="J19" t="s">
        <v>1004</v>
      </c>
      <c r="K19" t="s">
        <v>1005</v>
      </c>
      <c r="L19">
        <v>1368</v>
      </c>
      <c r="N19">
        <v>1011</v>
      </c>
      <c r="O19" t="s">
        <v>1006</v>
      </c>
      <c r="P19" t="s">
        <v>1006</v>
      </c>
      <c r="Q19">
        <v>1</v>
      </c>
      <c r="W19">
        <v>0</v>
      </c>
      <c r="X19">
        <v>1753337916</v>
      </c>
      <c r="Y19">
        <v>0.93</v>
      </c>
      <c r="AA19">
        <v>0</v>
      </c>
      <c r="AB19">
        <v>308.94</v>
      </c>
      <c r="AC19">
        <v>239.1</v>
      </c>
      <c r="AD19">
        <v>0</v>
      </c>
      <c r="AE19">
        <v>0</v>
      </c>
      <c r="AF19">
        <v>308.94</v>
      </c>
      <c r="AG19">
        <v>239.1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0</v>
      </c>
      <c r="AP19">
        <v>0</v>
      </c>
      <c r="AQ19">
        <v>1</v>
      </c>
      <c r="AR19">
        <v>0</v>
      </c>
      <c r="AT19">
        <v>0.93</v>
      </c>
      <c r="AV19">
        <v>0</v>
      </c>
      <c r="AW19">
        <v>2</v>
      </c>
      <c r="AX19">
        <v>51868256</v>
      </c>
      <c r="AY19">
        <v>1</v>
      </c>
      <c r="AZ19">
        <v>0</v>
      </c>
      <c r="BA19">
        <v>19</v>
      </c>
      <c r="BB19">
        <v>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287.31420000000003</v>
      </c>
      <c r="BL19">
        <v>222.363</v>
      </c>
      <c r="BM19">
        <v>0</v>
      </c>
      <c r="BN19">
        <v>0</v>
      </c>
      <c r="BO19">
        <v>0</v>
      </c>
      <c r="BP19">
        <v>1</v>
      </c>
      <c r="BQ19">
        <v>0</v>
      </c>
      <c r="BR19">
        <v>287.31420000000003</v>
      </c>
      <c r="BS19">
        <v>222.363</v>
      </c>
      <c r="BT19">
        <v>0</v>
      </c>
      <c r="BU19">
        <v>0</v>
      </c>
      <c r="BV19">
        <v>0</v>
      </c>
      <c r="BW19">
        <v>1</v>
      </c>
      <c r="CX19">
        <f>Y19*Source!I27</f>
        <v>1.7484</v>
      </c>
      <c r="CY19">
        <f>AB19</f>
        <v>308.94</v>
      </c>
      <c r="CZ19">
        <f>AF19</f>
        <v>308.94</v>
      </c>
      <c r="DA19">
        <f>AJ19</f>
        <v>1</v>
      </c>
      <c r="DB19">
        <f t="shared" si="0"/>
        <v>287.31</v>
      </c>
      <c r="DC19">
        <f t="shared" si="1"/>
        <v>222.36</v>
      </c>
    </row>
    <row r="20" spans="1:107" x14ac:dyDescent="0.2">
      <c r="A20">
        <f>ROW(Source!A27)</f>
        <v>27</v>
      </c>
      <c r="B20">
        <v>51866571</v>
      </c>
      <c r="C20">
        <v>51866881</v>
      </c>
      <c r="D20">
        <v>39117962</v>
      </c>
      <c r="E20">
        <v>1</v>
      </c>
      <c r="F20">
        <v>1</v>
      </c>
      <c r="G20">
        <v>1</v>
      </c>
      <c r="H20">
        <v>3</v>
      </c>
      <c r="I20" t="s">
        <v>1013</v>
      </c>
      <c r="J20" t="s">
        <v>1014</v>
      </c>
      <c r="K20" t="s">
        <v>98</v>
      </c>
      <c r="L20">
        <v>1348</v>
      </c>
      <c r="N20">
        <v>1009</v>
      </c>
      <c r="O20" t="s">
        <v>99</v>
      </c>
      <c r="P20" t="s">
        <v>99</v>
      </c>
      <c r="Q20">
        <v>1000</v>
      </c>
      <c r="W20">
        <v>0</v>
      </c>
      <c r="X20">
        <v>-150994421</v>
      </c>
      <c r="Y20">
        <v>3.42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0</v>
      </c>
      <c r="AP20">
        <v>0</v>
      </c>
      <c r="AQ20">
        <v>1</v>
      </c>
      <c r="AR20">
        <v>0</v>
      </c>
      <c r="AT20">
        <v>3.42</v>
      </c>
      <c r="AV20">
        <v>0</v>
      </c>
      <c r="AW20">
        <v>2</v>
      </c>
      <c r="AX20">
        <v>51868257</v>
      </c>
      <c r="AY20">
        <v>1</v>
      </c>
      <c r="AZ20">
        <v>0</v>
      </c>
      <c r="BA20">
        <v>20</v>
      </c>
      <c r="BB20">
        <v>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Y20*Source!I27</f>
        <v>6.4295999999999998</v>
      </c>
      <c r="CY20">
        <f>AA20</f>
        <v>0</v>
      </c>
      <c r="CZ20">
        <f>AE20</f>
        <v>0</v>
      </c>
      <c r="DA20">
        <f>AI20</f>
        <v>1</v>
      </c>
      <c r="DB20">
        <f t="shared" si="0"/>
        <v>0</v>
      </c>
      <c r="DC20">
        <f t="shared" si="1"/>
        <v>0</v>
      </c>
    </row>
    <row r="21" spans="1:107" x14ac:dyDescent="0.2">
      <c r="A21">
        <f>ROW(Source!A28)</f>
        <v>28</v>
      </c>
      <c r="B21">
        <v>51866573</v>
      </c>
      <c r="C21">
        <v>51866892</v>
      </c>
      <c r="D21">
        <v>23132522</v>
      </c>
      <c r="E21">
        <v>1</v>
      </c>
      <c r="F21">
        <v>1</v>
      </c>
      <c r="G21">
        <v>1</v>
      </c>
      <c r="H21">
        <v>1</v>
      </c>
      <c r="I21" t="s">
        <v>1017</v>
      </c>
      <c r="K21" t="s">
        <v>1018</v>
      </c>
      <c r="L21">
        <v>1369</v>
      </c>
      <c r="N21">
        <v>1013</v>
      </c>
      <c r="O21" t="s">
        <v>71</v>
      </c>
      <c r="P21" t="s">
        <v>71</v>
      </c>
      <c r="Q21">
        <v>1</v>
      </c>
      <c r="W21">
        <v>0</v>
      </c>
      <c r="X21">
        <v>560067895</v>
      </c>
      <c r="Y21">
        <v>275.60000000000002</v>
      </c>
      <c r="AA21">
        <v>0</v>
      </c>
      <c r="AB21">
        <v>0</v>
      </c>
      <c r="AC21">
        <v>0</v>
      </c>
      <c r="AD21">
        <v>7.18</v>
      </c>
      <c r="AE21">
        <v>0</v>
      </c>
      <c r="AF21">
        <v>0</v>
      </c>
      <c r="AG21">
        <v>0</v>
      </c>
      <c r="AH21">
        <v>7.18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0</v>
      </c>
      <c r="AP21">
        <v>0</v>
      </c>
      <c r="AQ21">
        <v>1</v>
      </c>
      <c r="AR21">
        <v>0</v>
      </c>
      <c r="AT21">
        <v>275.60000000000002</v>
      </c>
      <c r="AV21">
        <v>1</v>
      </c>
      <c r="AW21">
        <v>2</v>
      </c>
      <c r="AX21">
        <v>51868240</v>
      </c>
      <c r="AY21">
        <v>1</v>
      </c>
      <c r="AZ21">
        <v>0</v>
      </c>
      <c r="BA21">
        <v>21</v>
      </c>
      <c r="BB21">
        <v>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1978.808</v>
      </c>
      <c r="BN21">
        <v>275.60000000000002</v>
      </c>
      <c r="BO21">
        <v>0</v>
      </c>
      <c r="BP21">
        <v>1</v>
      </c>
      <c r="BQ21">
        <v>0</v>
      </c>
      <c r="BR21">
        <v>0</v>
      </c>
      <c r="BS21">
        <v>0</v>
      </c>
      <c r="BT21">
        <v>1978.808</v>
      </c>
      <c r="BU21">
        <v>275.60000000000002</v>
      </c>
      <c r="BV21">
        <v>0</v>
      </c>
      <c r="BW21">
        <v>1</v>
      </c>
      <c r="CX21">
        <f>Y21*Source!I28</f>
        <v>65.041600000000003</v>
      </c>
      <c r="CY21">
        <f>AD21</f>
        <v>7.18</v>
      </c>
      <c r="CZ21">
        <f>AH21</f>
        <v>7.18</v>
      </c>
      <c r="DA21">
        <f>AL21</f>
        <v>1</v>
      </c>
      <c r="DB21">
        <f t="shared" si="0"/>
        <v>1978.81</v>
      </c>
      <c r="DC21">
        <f t="shared" si="1"/>
        <v>0</v>
      </c>
    </row>
    <row r="22" spans="1:107" x14ac:dyDescent="0.2">
      <c r="A22">
        <f>ROW(Source!A28)</f>
        <v>28</v>
      </c>
      <c r="B22">
        <v>51866573</v>
      </c>
      <c r="C22">
        <v>51866892</v>
      </c>
      <c r="D22">
        <v>121548</v>
      </c>
      <c r="E22">
        <v>1</v>
      </c>
      <c r="F22">
        <v>1</v>
      </c>
      <c r="G22">
        <v>1</v>
      </c>
      <c r="H22">
        <v>1</v>
      </c>
      <c r="I22" t="s">
        <v>96</v>
      </c>
      <c r="K22" t="s">
        <v>1001</v>
      </c>
      <c r="L22">
        <v>608254</v>
      </c>
      <c r="N22">
        <v>1013</v>
      </c>
      <c r="O22" t="s">
        <v>1002</v>
      </c>
      <c r="P22" t="s">
        <v>1002</v>
      </c>
      <c r="Q22">
        <v>1</v>
      </c>
      <c r="W22">
        <v>0</v>
      </c>
      <c r="X22">
        <v>-185737400</v>
      </c>
      <c r="Y22">
        <v>1.58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0</v>
      </c>
      <c r="AP22">
        <v>0</v>
      </c>
      <c r="AQ22">
        <v>1</v>
      </c>
      <c r="AR22">
        <v>0</v>
      </c>
      <c r="AT22">
        <v>1.58</v>
      </c>
      <c r="AV22">
        <v>2</v>
      </c>
      <c r="AW22">
        <v>2</v>
      </c>
      <c r="AX22">
        <v>51868241</v>
      </c>
      <c r="AY22">
        <v>1</v>
      </c>
      <c r="AZ22">
        <v>0</v>
      </c>
      <c r="BA22">
        <v>22</v>
      </c>
      <c r="BB22">
        <v>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1.58</v>
      </c>
      <c r="BP22">
        <v>1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1.58</v>
      </c>
      <c r="BW22">
        <v>1</v>
      </c>
      <c r="CX22">
        <f>Y22*Source!I28</f>
        <v>0.37287999999999999</v>
      </c>
      <c r="CY22">
        <f>AD22</f>
        <v>0</v>
      </c>
      <c r="CZ22">
        <f>AH22</f>
        <v>0</v>
      </c>
      <c r="DA22">
        <f>AL22</f>
        <v>1</v>
      </c>
      <c r="DB22">
        <f t="shared" si="0"/>
        <v>0</v>
      </c>
      <c r="DC22">
        <f t="shared" si="1"/>
        <v>0</v>
      </c>
    </row>
    <row r="23" spans="1:107" x14ac:dyDescent="0.2">
      <c r="A23">
        <f>ROW(Source!A28)</f>
        <v>28</v>
      </c>
      <c r="B23">
        <v>51866573</v>
      </c>
      <c r="C23">
        <v>51866892</v>
      </c>
      <c r="D23">
        <v>39127873</v>
      </c>
      <c r="E23">
        <v>1</v>
      </c>
      <c r="F23">
        <v>1</v>
      </c>
      <c r="G23">
        <v>1</v>
      </c>
      <c r="H23">
        <v>2</v>
      </c>
      <c r="I23" t="s">
        <v>1007</v>
      </c>
      <c r="J23" t="s">
        <v>1008</v>
      </c>
      <c r="K23" t="s">
        <v>1009</v>
      </c>
      <c r="L23">
        <v>1368</v>
      </c>
      <c r="N23">
        <v>1011</v>
      </c>
      <c r="O23" t="s">
        <v>1006</v>
      </c>
      <c r="P23" t="s">
        <v>1006</v>
      </c>
      <c r="Q23">
        <v>1</v>
      </c>
      <c r="W23">
        <v>0</v>
      </c>
      <c r="X23">
        <v>2133576372</v>
      </c>
      <c r="Y23">
        <v>1.58</v>
      </c>
      <c r="AA23">
        <v>0</v>
      </c>
      <c r="AB23">
        <v>59.38</v>
      </c>
      <c r="AC23">
        <v>9</v>
      </c>
      <c r="AD23">
        <v>0</v>
      </c>
      <c r="AE23">
        <v>0</v>
      </c>
      <c r="AF23">
        <v>59.38</v>
      </c>
      <c r="AG23">
        <v>9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0</v>
      </c>
      <c r="AP23">
        <v>0</v>
      </c>
      <c r="AQ23">
        <v>1</v>
      </c>
      <c r="AR23">
        <v>0</v>
      </c>
      <c r="AT23">
        <v>1.58</v>
      </c>
      <c r="AV23">
        <v>0</v>
      </c>
      <c r="AW23">
        <v>2</v>
      </c>
      <c r="AX23">
        <v>51868242</v>
      </c>
      <c r="AY23">
        <v>1</v>
      </c>
      <c r="AZ23">
        <v>0</v>
      </c>
      <c r="BA23">
        <v>23</v>
      </c>
      <c r="BB23">
        <v>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93.820400000000006</v>
      </c>
      <c r="BL23">
        <v>14.22</v>
      </c>
      <c r="BM23">
        <v>0</v>
      </c>
      <c r="BN23">
        <v>0</v>
      </c>
      <c r="BO23">
        <v>0</v>
      </c>
      <c r="BP23">
        <v>1</v>
      </c>
      <c r="BQ23">
        <v>0</v>
      </c>
      <c r="BR23">
        <v>93.820400000000006</v>
      </c>
      <c r="BS23">
        <v>14.22</v>
      </c>
      <c r="BT23">
        <v>0</v>
      </c>
      <c r="BU23">
        <v>0</v>
      </c>
      <c r="BV23">
        <v>0</v>
      </c>
      <c r="BW23">
        <v>1</v>
      </c>
      <c r="CX23">
        <f>Y23*Source!I28</f>
        <v>0.37287999999999999</v>
      </c>
      <c r="CY23">
        <f>AB23</f>
        <v>59.38</v>
      </c>
      <c r="CZ23">
        <f>AF23</f>
        <v>59.38</v>
      </c>
      <c r="DA23">
        <f>AJ23</f>
        <v>1</v>
      </c>
      <c r="DB23">
        <f t="shared" si="0"/>
        <v>93.82</v>
      </c>
      <c r="DC23">
        <f t="shared" si="1"/>
        <v>14.22</v>
      </c>
    </row>
    <row r="24" spans="1:107" x14ac:dyDescent="0.2">
      <c r="A24">
        <f>ROW(Source!A28)</f>
        <v>28</v>
      </c>
      <c r="B24">
        <v>51866573</v>
      </c>
      <c r="C24">
        <v>51866892</v>
      </c>
      <c r="D24">
        <v>39129269</v>
      </c>
      <c r="E24">
        <v>1</v>
      </c>
      <c r="F24">
        <v>1</v>
      </c>
      <c r="G24">
        <v>1</v>
      </c>
      <c r="H24">
        <v>2</v>
      </c>
      <c r="I24" t="s">
        <v>1010</v>
      </c>
      <c r="J24" t="s">
        <v>1011</v>
      </c>
      <c r="K24" t="s">
        <v>1012</v>
      </c>
      <c r="L24">
        <v>1368</v>
      </c>
      <c r="N24">
        <v>1011</v>
      </c>
      <c r="O24" t="s">
        <v>1006</v>
      </c>
      <c r="P24" t="s">
        <v>1006</v>
      </c>
      <c r="Q24">
        <v>1</v>
      </c>
      <c r="W24">
        <v>0</v>
      </c>
      <c r="X24">
        <v>1159152410</v>
      </c>
      <c r="Y24">
        <v>3.16</v>
      </c>
      <c r="AA24">
        <v>0</v>
      </c>
      <c r="AB24">
        <v>1.69</v>
      </c>
      <c r="AC24">
        <v>0</v>
      </c>
      <c r="AD24">
        <v>0</v>
      </c>
      <c r="AE24">
        <v>0</v>
      </c>
      <c r="AF24">
        <v>1.69</v>
      </c>
      <c r="AG24">
        <v>0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0</v>
      </c>
      <c r="AP24">
        <v>0</v>
      </c>
      <c r="AQ24">
        <v>1</v>
      </c>
      <c r="AR24">
        <v>0</v>
      </c>
      <c r="AT24">
        <v>3.16</v>
      </c>
      <c r="AV24">
        <v>0</v>
      </c>
      <c r="AW24">
        <v>2</v>
      </c>
      <c r="AX24">
        <v>51868243</v>
      </c>
      <c r="AY24">
        <v>1</v>
      </c>
      <c r="AZ24">
        <v>0</v>
      </c>
      <c r="BA24">
        <v>24</v>
      </c>
      <c r="BB24">
        <v>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5.3403999999999998</v>
      </c>
      <c r="BL24">
        <v>0</v>
      </c>
      <c r="BM24">
        <v>0</v>
      </c>
      <c r="BN24">
        <v>0</v>
      </c>
      <c r="BO24">
        <v>0</v>
      </c>
      <c r="BP24">
        <v>1</v>
      </c>
      <c r="BQ24">
        <v>0</v>
      </c>
      <c r="BR24">
        <v>5.3403999999999998</v>
      </c>
      <c r="BS24">
        <v>0</v>
      </c>
      <c r="BT24">
        <v>0</v>
      </c>
      <c r="BU24">
        <v>0</v>
      </c>
      <c r="BV24">
        <v>0</v>
      </c>
      <c r="BW24">
        <v>1</v>
      </c>
      <c r="CX24">
        <f>Y24*Source!I28</f>
        <v>0.74575999999999998</v>
      </c>
      <c r="CY24">
        <f>AB24</f>
        <v>1.69</v>
      </c>
      <c r="CZ24">
        <f>AF24</f>
        <v>1.69</v>
      </c>
      <c r="DA24">
        <f>AJ24</f>
        <v>1</v>
      </c>
      <c r="DB24">
        <f t="shared" si="0"/>
        <v>5.34</v>
      </c>
      <c r="DC24">
        <f t="shared" si="1"/>
        <v>0</v>
      </c>
    </row>
    <row r="25" spans="1:107" x14ac:dyDescent="0.2">
      <c r="A25">
        <f>ROW(Source!A28)</f>
        <v>28</v>
      </c>
      <c r="B25">
        <v>51866573</v>
      </c>
      <c r="C25">
        <v>51866892</v>
      </c>
      <c r="D25">
        <v>39117962</v>
      </c>
      <c r="E25">
        <v>1</v>
      </c>
      <c r="F25">
        <v>1</v>
      </c>
      <c r="G25">
        <v>1</v>
      </c>
      <c r="H25">
        <v>3</v>
      </c>
      <c r="I25" t="s">
        <v>1013</v>
      </c>
      <c r="J25" t="s">
        <v>1014</v>
      </c>
      <c r="K25" t="s">
        <v>98</v>
      </c>
      <c r="L25">
        <v>1348</v>
      </c>
      <c r="N25">
        <v>1009</v>
      </c>
      <c r="O25" t="s">
        <v>99</v>
      </c>
      <c r="P25" t="s">
        <v>99</v>
      </c>
      <c r="Q25">
        <v>1000</v>
      </c>
      <c r="W25">
        <v>0</v>
      </c>
      <c r="X25">
        <v>-150994421</v>
      </c>
      <c r="Y25">
        <v>13.4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0</v>
      </c>
      <c r="AP25">
        <v>0</v>
      </c>
      <c r="AQ25">
        <v>1</v>
      </c>
      <c r="AR25">
        <v>0</v>
      </c>
      <c r="AT25">
        <v>13.4</v>
      </c>
      <c r="AV25">
        <v>0</v>
      </c>
      <c r="AW25">
        <v>2</v>
      </c>
      <c r="AX25">
        <v>51868244</v>
      </c>
      <c r="AY25">
        <v>1</v>
      </c>
      <c r="AZ25">
        <v>0</v>
      </c>
      <c r="BA25">
        <v>25</v>
      </c>
      <c r="BB25">
        <v>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Y25*Source!I28</f>
        <v>3.1623999999999999</v>
      </c>
      <c r="CY25">
        <f>AA25</f>
        <v>0</v>
      </c>
      <c r="CZ25">
        <f>AE25</f>
        <v>0</v>
      </c>
      <c r="DA25">
        <f>AI25</f>
        <v>1</v>
      </c>
      <c r="DB25">
        <f t="shared" si="0"/>
        <v>0</v>
      </c>
      <c r="DC25">
        <f t="shared" si="1"/>
        <v>0</v>
      </c>
    </row>
    <row r="26" spans="1:107" x14ac:dyDescent="0.2">
      <c r="A26">
        <f>ROW(Source!A29)</f>
        <v>29</v>
      </c>
      <c r="B26">
        <v>51866571</v>
      </c>
      <c r="C26">
        <v>51866892</v>
      </c>
      <c r="D26">
        <v>23132522</v>
      </c>
      <c r="E26">
        <v>1</v>
      </c>
      <c r="F26">
        <v>1</v>
      </c>
      <c r="G26">
        <v>1</v>
      </c>
      <c r="H26">
        <v>1</v>
      </c>
      <c r="I26" t="s">
        <v>1017</v>
      </c>
      <c r="K26" t="s">
        <v>1018</v>
      </c>
      <c r="L26">
        <v>1369</v>
      </c>
      <c r="N26">
        <v>1013</v>
      </c>
      <c r="O26" t="s">
        <v>71</v>
      </c>
      <c r="P26" t="s">
        <v>71</v>
      </c>
      <c r="Q26">
        <v>1</v>
      </c>
      <c r="W26">
        <v>0</v>
      </c>
      <c r="X26">
        <v>560067895</v>
      </c>
      <c r="Y26">
        <v>275.60000000000002</v>
      </c>
      <c r="AA26">
        <v>0</v>
      </c>
      <c r="AB26">
        <v>0</v>
      </c>
      <c r="AC26">
        <v>0</v>
      </c>
      <c r="AD26">
        <v>141.58000000000001</v>
      </c>
      <c r="AE26">
        <v>0</v>
      </c>
      <c r="AF26">
        <v>0</v>
      </c>
      <c r="AG26">
        <v>0</v>
      </c>
      <c r="AH26">
        <v>141.58000000000001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0</v>
      </c>
      <c r="AP26">
        <v>0</v>
      </c>
      <c r="AQ26">
        <v>1</v>
      </c>
      <c r="AR26">
        <v>0</v>
      </c>
      <c r="AT26">
        <v>275.60000000000002</v>
      </c>
      <c r="AV26">
        <v>1</v>
      </c>
      <c r="AW26">
        <v>2</v>
      </c>
      <c r="AX26">
        <v>51868240</v>
      </c>
      <c r="AY26">
        <v>1</v>
      </c>
      <c r="AZ26">
        <v>0</v>
      </c>
      <c r="BA26">
        <v>26</v>
      </c>
      <c r="BB26">
        <v>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39019.447999999997</v>
      </c>
      <c r="BN26">
        <v>275.60000000000002</v>
      </c>
      <c r="BO26">
        <v>0</v>
      </c>
      <c r="BP26">
        <v>1</v>
      </c>
      <c r="BQ26">
        <v>0</v>
      </c>
      <c r="BR26">
        <v>0</v>
      </c>
      <c r="BS26">
        <v>0</v>
      </c>
      <c r="BT26">
        <v>39019.447999999997</v>
      </c>
      <c r="BU26">
        <v>275.60000000000002</v>
      </c>
      <c r="BV26">
        <v>0</v>
      </c>
      <c r="BW26">
        <v>1</v>
      </c>
      <c r="CX26">
        <f>Y26*Source!I29</f>
        <v>65.041600000000003</v>
      </c>
      <c r="CY26">
        <f>AD26</f>
        <v>141.58000000000001</v>
      </c>
      <c r="CZ26">
        <f>AH26</f>
        <v>141.58000000000001</v>
      </c>
      <c r="DA26">
        <f>AL26</f>
        <v>1</v>
      </c>
      <c r="DB26">
        <f t="shared" si="0"/>
        <v>39019.449999999997</v>
      </c>
      <c r="DC26">
        <f t="shared" si="1"/>
        <v>0</v>
      </c>
    </row>
    <row r="27" spans="1:107" x14ac:dyDescent="0.2">
      <c r="A27">
        <f>ROW(Source!A29)</f>
        <v>29</v>
      </c>
      <c r="B27">
        <v>51866571</v>
      </c>
      <c r="C27">
        <v>51866892</v>
      </c>
      <c r="D27">
        <v>121548</v>
      </c>
      <c r="E27">
        <v>1</v>
      </c>
      <c r="F27">
        <v>1</v>
      </c>
      <c r="G27">
        <v>1</v>
      </c>
      <c r="H27">
        <v>1</v>
      </c>
      <c r="I27" t="s">
        <v>96</v>
      </c>
      <c r="K27" t="s">
        <v>1001</v>
      </c>
      <c r="L27">
        <v>608254</v>
      </c>
      <c r="N27">
        <v>1013</v>
      </c>
      <c r="O27" t="s">
        <v>1002</v>
      </c>
      <c r="P27" t="s">
        <v>1002</v>
      </c>
      <c r="Q27">
        <v>1</v>
      </c>
      <c r="W27">
        <v>0</v>
      </c>
      <c r="X27">
        <v>-185737400</v>
      </c>
      <c r="Y27">
        <v>1.58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0</v>
      </c>
      <c r="AP27">
        <v>0</v>
      </c>
      <c r="AQ27">
        <v>1</v>
      </c>
      <c r="AR27">
        <v>0</v>
      </c>
      <c r="AT27">
        <v>1.58</v>
      </c>
      <c r="AV27">
        <v>2</v>
      </c>
      <c r="AW27">
        <v>2</v>
      </c>
      <c r="AX27">
        <v>51868241</v>
      </c>
      <c r="AY27">
        <v>1</v>
      </c>
      <c r="AZ27">
        <v>0</v>
      </c>
      <c r="BA27">
        <v>27</v>
      </c>
      <c r="BB27">
        <v>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1.58</v>
      </c>
      <c r="BP27">
        <v>1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1.58</v>
      </c>
      <c r="BW27">
        <v>1</v>
      </c>
      <c r="CX27">
        <f>Y27*Source!I29</f>
        <v>0.37287999999999999</v>
      </c>
      <c r="CY27">
        <f>AD27</f>
        <v>0</v>
      </c>
      <c r="CZ27">
        <f>AH27</f>
        <v>0</v>
      </c>
      <c r="DA27">
        <f>AL27</f>
        <v>1</v>
      </c>
      <c r="DB27">
        <f t="shared" si="0"/>
        <v>0</v>
      </c>
      <c r="DC27">
        <f t="shared" si="1"/>
        <v>0</v>
      </c>
    </row>
    <row r="28" spans="1:107" x14ac:dyDescent="0.2">
      <c r="A28">
        <f>ROW(Source!A29)</f>
        <v>29</v>
      </c>
      <c r="B28">
        <v>51866571</v>
      </c>
      <c r="C28">
        <v>51866892</v>
      </c>
      <c r="D28">
        <v>39127873</v>
      </c>
      <c r="E28">
        <v>1</v>
      </c>
      <c r="F28">
        <v>1</v>
      </c>
      <c r="G28">
        <v>1</v>
      </c>
      <c r="H28">
        <v>2</v>
      </c>
      <c r="I28" t="s">
        <v>1007</v>
      </c>
      <c r="J28" t="s">
        <v>1008</v>
      </c>
      <c r="K28" t="s">
        <v>1009</v>
      </c>
      <c r="L28">
        <v>1368</v>
      </c>
      <c r="N28">
        <v>1011</v>
      </c>
      <c r="O28" t="s">
        <v>1006</v>
      </c>
      <c r="P28" t="s">
        <v>1006</v>
      </c>
      <c r="Q28">
        <v>1</v>
      </c>
      <c r="W28">
        <v>0</v>
      </c>
      <c r="X28">
        <v>2133576372</v>
      </c>
      <c r="Y28">
        <v>1.58</v>
      </c>
      <c r="AA28">
        <v>0</v>
      </c>
      <c r="AB28">
        <v>550.02</v>
      </c>
      <c r="AC28">
        <v>177.84</v>
      </c>
      <c r="AD28">
        <v>0</v>
      </c>
      <c r="AE28">
        <v>0</v>
      </c>
      <c r="AF28">
        <v>550.02</v>
      </c>
      <c r="AG28">
        <v>177.84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0</v>
      </c>
      <c r="AP28">
        <v>0</v>
      </c>
      <c r="AQ28">
        <v>1</v>
      </c>
      <c r="AR28">
        <v>0</v>
      </c>
      <c r="AT28">
        <v>1.58</v>
      </c>
      <c r="AV28">
        <v>0</v>
      </c>
      <c r="AW28">
        <v>2</v>
      </c>
      <c r="AX28">
        <v>51868242</v>
      </c>
      <c r="AY28">
        <v>1</v>
      </c>
      <c r="AZ28">
        <v>0</v>
      </c>
      <c r="BA28">
        <v>28</v>
      </c>
      <c r="BB28">
        <v>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869.03160000000003</v>
      </c>
      <c r="BL28">
        <v>280.98719999999997</v>
      </c>
      <c r="BM28">
        <v>0</v>
      </c>
      <c r="BN28">
        <v>0</v>
      </c>
      <c r="BO28">
        <v>0</v>
      </c>
      <c r="BP28">
        <v>1</v>
      </c>
      <c r="BQ28">
        <v>0</v>
      </c>
      <c r="BR28">
        <v>869.03160000000003</v>
      </c>
      <c r="BS28">
        <v>280.98719999999997</v>
      </c>
      <c r="BT28">
        <v>0</v>
      </c>
      <c r="BU28">
        <v>0</v>
      </c>
      <c r="BV28">
        <v>0</v>
      </c>
      <c r="BW28">
        <v>1</v>
      </c>
      <c r="CX28">
        <f>Y28*Source!I29</f>
        <v>0.37287999999999999</v>
      </c>
      <c r="CY28">
        <f>AB28</f>
        <v>550.02</v>
      </c>
      <c r="CZ28">
        <f>AF28</f>
        <v>550.02</v>
      </c>
      <c r="DA28">
        <f>AJ28</f>
        <v>1</v>
      </c>
      <c r="DB28">
        <f t="shared" si="0"/>
        <v>869.03</v>
      </c>
      <c r="DC28">
        <f t="shared" si="1"/>
        <v>280.99</v>
      </c>
    </row>
    <row r="29" spans="1:107" x14ac:dyDescent="0.2">
      <c r="A29">
        <f>ROW(Source!A29)</f>
        <v>29</v>
      </c>
      <c r="B29">
        <v>51866571</v>
      </c>
      <c r="C29">
        <v>51866892</v>
      </c>
      <c r="D29">
        <v>39129269</v>
      </c>
      <c r="E29">
        <v>1</v>
      </c>
      <c r="F29">
        <v>1</v>
      </c>
      <c r="G29">
        <v>1</v>
      </c>
      <c r="H29">
        <v>2</v>
      </c>
      <c r="I29" t="s">
        <v>1010</v>
      </c>
      <c r="J29" t="s">
        <v>1011</v>
      </c>
      <c r="K29" t="s">
        <v>1012</v>
      </c>
      <c r="L29">
        <v>1368</v>
      </c>
      <c r="N29">
        <v>1011</v>
      </c>
      <c r="O29" t="s">
        <v>1006</v>
      </c>
      <c r="P29" t="s">
        <v>1006</v>
      </c>
      <c r="Q29">
        <v>1</v>
      </c>
      <c r="W29">
        <v>0</v>
      </c>
      <c r="X29">
        <v>1159152410</v>
      </c>
      <c r="Y29">
        <v>3.16</v>
      </c>
      <c r="AA29">
        <v>0</v>
      </c>
      <c r="AB29">
        <v>5.39</v>
      </c>
      <c r="AC29">
        <v>0</v>
      </c>
      <c r="AD29">
        <v>0</v>
      </c>
      <c r="AE29">
        <v>0</v>
      </c>
      <c r="AF29">
        <v>5.39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0</v>
      </c>
      <c r="AP29">
        <v>0</v>
      </c>
      <c r="AQ29">
        <v>1</v>
      </c>
      <c r="AR29">
        <v>0</v>
      </c>
      <c r="AT29">
        <v>3.16</v>
      </c>
      <c r="AV29">
        <v>0</v>
      </c>
      <c r="AW29">
        <v>2</v>
      </c>
      <c r="AX29">
        <v>51868243</v>
      </c>
      <c r="AY29">
        <v>1</v>
      </c>
      <c r="AZ29">
        <v>0</v>
      </c>
      <c r="BA29">
        <v>29</v>
      </c>
      <c r="BB29">
        <v>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17.032399999999999</v>
      </c>
      <c r="BL29">
        <v>0</v>
      </c>
      <c r="BM29">
        <v>0</v>
      </c>
      <c r="BN29">
        <v>0</v>
      </c>
      <c r="BO29">
        <v>0</v>
      </c>
      <c r="BP29">
        <v>1</v>
      </c>
      <c r="BQ29">
        <v>0</v>
      </c>
      <c r="BR29">
        <v>17.032399999999999</v>
      </c>
      <c r="BS29">
        <v>0</v>
      </c>
      <c r="BT29">
        <v>0</v>
      </c>
      <c r="BU29">
        <v>0</v>
      </c>
      <c r="BV29">
        <v>0</v>
      </c>
      <c r="BW29">
        <v>1</v>
      </c>
      <c r="CX29">
        <f>Y29*Source!I29</f>
        <v>0.74575999999999998</v>
      </c>
      <c r="CY29">
        <f>AB29</f>
        <v>5.39</v>
      </c>
      <c r="CZ29">
        <f>AF29</f>
        <v>5.39</v>
      </c>
      <c r="DA29">
        <f>AJ29</f>
        <v>1</v>
      </c>
      <c r="DB29">
        <f t="shared" si="0"/>
        <v>17.03</v>
      </c>
      <c r="DC29">
        <f t="shared" si="1"/>
        <v>0</v>
      </c>
    </row>
    <row r="30" spans="1:107" x14ac:dyDescent="0.2">
      <c r="A30">
        <f>ROW(Source!A29)</f>
        <v>29</v>
      </c>
      <c r="B30">
        <v>51866571</v>
      </c>
      <c r="C30">
        <v>51866892</v>
      </c>
      <c r="D30">
        <v>39117962</v>
      </c>
      <c r="E30">
        <v>1</v>
      </c>
      <c r="F30">
        <v>1</v>
      </c>
      <c r="G30">
        <v>1</v>
      </c>
      <c r="H30">
        <v>3</v>
      </c>
      <c r="I30" t="s">
        <v>1013</v>
      </c>
      <c r="J30" t="s">
        <v>1014</v>
      </c>
      <c r="K30" t="s">
        <v>98</v>
      </c>
      <c r="L30">
        <v>1348</v>
      </c>
      <c r="N30">
        <v>1009</v>
      </c>
      <c r="O30" t="s">
        <v>99</v>
      </c>
      <c r="P30" t="s">
        <v>99</v>
      </c>
      <c r="Q30">
        <v>1000</v>
      </c>
      <c r="W30">
        <v>0</v>
      </c>
      <c r="X30">
        <v>-150994421</v>
      </c>
      <c r="Y30">
        <v>13.4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0</v>
      </c>
      <c r="AP30">
        <v>0</v>
      </c>
      <c r="AQ30">
        <v>1</v>
      </c>
      <c r="AR30">
        <v>0</v>
      </c>
      <c r="AT30">
        <v>13.4</v>
      </c>
      <c r="AV30">
        <v>0</v>
      </c>
      <c r="AW30">
        <v>2</v>
      </c>
      <c r="AX30">
        <v>51868244</v>
      </c>
      <c r="AY30">
        <v>1</v>
      </c>
      <c r="AZ30">
        <v>0</v>
      </c>
      <c r="BA30">
        <v>30</v>
      </c>
      <c r="BB30">
        <v>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Y30*Source!I29</f>
        <v>3.1623999999999999</v>
      </c>
      <c r="CY30">
        <f>AA30</f>
        <v>0</v>
      </c>
      <c r="CZ30">
        <f>AE30</f>
        <v>0</v>
      </c>
      <c r="DA30">
        <f>AI30</f>
        <v>1</v>
      </c>
      <c r="DB30">
        <f t="shared" si="0"/>
        <v>0</v>
      </c>
      <c r="DC30">
        <f t="shared" si="1"/>
        <v>0</v>
      </c>
    </row>
    <row r="31" spans="1:107" x14ac:dyDescent="0.2">
      <c r="A31">
        <f>ROW(Source!A30)</f>
        <v>30</v>
      </c>
      <c r="B31">
        <v>51866573</v>
      </c>
      <c r="C31">
        <v>51866946</v>
      </c>
      <c r="D31">
        <v>23129555</v>
      </c>
      <c r="E31">
        <v>1</v>
      </c>
      <c r="F31">
        <v>1</v>
      </c>
      <c r="G31">
        <v>1</v>
      </c>
      <c r="H31">
        <v>1</v>
      </c>
      <c r="I31" t="s">
        <v>1019</v>
      </c>
      <c r="K31" t="s">
        <v>1020</v>
      </c>
      <c r="L31">
        <v>1369</v>
      </c>
      <c r="N31">
        <v>1013</v>
      </c>
      <c r="O31" t="s">
        <v>71</v>
      </c>
      <c r="P31" t="s">
        <v>71</v>
      </c>
      <c r="Q31">
        <v>1</v>
      </c>
      <c r="W31">
        <v>0</v>
      </c>
      <c r="X31">
        <v>1250814213</v>
      </c>
      <c r="Y31">
        <v>9.1</v>
      </c>
      <c r="AA31">
        <v>0</v>
      </c>
      <c r="AB31">
        <v>0</v>
      </c>
      <c r="AC31">
        <v>0</v>
      </c>
      <c r="AD31">
        <v>7.29</v>
      </c>
      <c r="AE31">
        <v>0</v>
      </c>
      <c r="AF31">
        <v>0</v>
      </c>
      <c r="AG31">
        <v>0</v>
      </c>
      <c r="AH31">
        <v>7.29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0</v>
      </c>
      <c r="AP31">
        <v>0</v>
      </c>
      <c r="AQ31">
        <v>1</v>
      </c>
      <c r="AR31">
        <v>0</v>
      </c>
      <c r="AT31">
        <v>9.1</v>
      </c>
      <c r="AV31">
        <v>1</v>
      </c>
      <c r="AW31">
        <v>2</v>
      </c>
      <c r="AX31">
        <v>51868245</v>
      </c>
      <c r="AY31">
        <v>1</v>
      </c>
      <c r="AZ31">
        <v>0</v>
      </c>
      <c r="BA31">
        <v>31</v>
      </c>
      <c r="BB31">
        <v>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66.338999999999999</v>
      </c>
      <c r="BN31">
        <v>9.1</v>
      </c>
      <c r="BO31">
        <v>0</v>
      </c>
      <c r="BP31">
        <v>1</v>
      </c>
      <c r="BQ31">
        <v>0</v>
      </c>
      <c r="BR31">
        <v>0</v>
      </c>
      <c r="BS31">
        <v>0</v>
      </c>
      <c r="BT31">
        <v>66.338999999999999</v>
      </c>
      <c r="BU31">
        <v>9.1</v>
      </c>
      <c r="BV31">
        <v>0</v>
      </c>
      <c r="BW31">
        <v>1</v>
      </c>
      <c r="CX31">
        <f>Y31*Source!I30</f>
        <v>4.7683999999999997</v>
      </c>
      <c r="CY31">
        <f>AD31</f>
        <v>7.29</v>
      </c>
      <c r="CZ31">
        <f>AH31</f>
        <v>7.29</v>
      </c>
      <c r="DA31">
        <f>AL31</f>
        <v>1</v>
      </c>
      <c r="DB31">
        <f t="shared" si="0"/>
        <v>66.34</v>
      </c>
      <c r="DC31">
        <f t="shared" si="1"/>
        <v>0</v>
      </c>
    </row>
    <row r="32" spans="1:107" x14ac:dyDescent="0.2">
      <c r="A32">
        <f>ROW(Source!A30)</f>
        <v>30</v>
      </c>
      <c r="B32">
        <v>51866573</v>
      </c>
      <c r="C32">
        <v>51866946</v>
      </c>
      <c r="D32">
        <v>39127715</v>
      </c>
      <c r="E32">
        <v>1</v>
      </c>
      <c r="F32">
        <v>1</v>
      </c>
      <c r="G32">
        <v>1</v>
      </c>
      <c r="H32">
        <v>2</v>
      </c>
      <c r="I32" t="s">
        <v>1021</v>
      </c>
      <c r="J32" t="s">
        <v>1022</v>
      </c>
      <c r="K32" t="s">
        <v>1023</v>
      </c>
      <c r="L32">
        <v>1368</v>
      </c>
      <c r="N32">
        <v>1011</v>
      </c>
      <c r="O32" t="s">
        <v>1006</v>
      </c>
      <c r="P32" t="s">
        <v>1006</v>
      </c>
      <c r="Q32">
        <v>1</v>
      </c>
      <c r="W32">
        <v>0</v>
      </c>
      <c r="X32">
        <v>-946971640</v>
      </c>
      <c r="Y32">
        <v>0.12</v>
      </c>
      <c r="AA32">
        <v>0</v>
      </c>
      <c r="AB32">
        <v>1.85</v>
      </c>
      <c r="AC32">
        <v>0</v>
      </c>
      <c r="AD32">
        <v>0</v>
      </c>
      <c r="AE32">
        <v>0</v>
      </c>
      <c r="AF32">
        <v>1.85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0</v>
      </c>
      <c r="AP32">
        <v>0</v>
      </c>
      <c r="AQ32">
        <v>1</v>
      </c>
      <c r="AR32">
        <v>0</v>
      </c>
      <c r="AT32">
        <v>0.12</v>
      </c>
      <c r="AV32">
        <v>0</v>
      </c>
      <c r="AW32">
        <v>2</v>
      </c>
      <c r="AX32">
        <v>51868246</v>
      </c>
      <c r="AY32">
        <v>1</v>
      </c>
      <c r="AZ32">
        <v>0</v>
      </c>
      <c r="BA32">
        <v>32</v>
      </c>
      <c r="BB32">
        <v>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0.222</v>
      </c>
      <c r="BL32">
        <v>0</v>
      </c>
      <c r="BM32">
        <v>0</v>
      </c>
      <c r="BN32">
        <v>0</v>
      </c>
      <c r="BO32">
        <v>0</v>
      </c>
      <c r="BP32">
        <v>1</v>
      </c>
      <c r="BQ32">
        <v>0</v>
      </c>
      <c r="BR32">
        <v>0.222</v>
      </c>
      <c r="BS32">
        <v>0</v>
      </c>
      <c r="BT32">
        <v>0</v>
      </c>
      <c r="BU32">
        <v>0</v>
      </c>
      <c r="BV32">
        <v>0</v>
      </c>
      <c r="BW32">
        <v>1</v>
      </c>
      <c r="CX32">
        <f>Y32*Source!I30</f>
        <v>6.2880000000000005E-2</v>
      </c>
      <c r="CY32">
        <f>AB32</f>
        <v>1.85</v>
      </c>
      <c r="CZ32">
        <f>AF32</f>
        <v>1.85</v>
      </c>
      <c r="DA32">
        <f>AJ32</f>
        <v>1</v>
      </c>
      <c r="DB32">
        <f t="shared" si="0"/>
        <v>0.22</v>
      </c>
      <c r="DC32">
        <f t="shared" si="1"/>
        <v>0</v>
      </c>
    </row>
    <row r="33" spans="1:107" x14ac:dyDescent="0.2">
      <c r="A33">
        <f>ROW(Source!A30)</f>
        <v>30</v>
      </c>
      <c r="B33">
        <v>51866573</v>
      </c>
      <c r="C33">
        <v>51866946</v>
      </c>
      <c r="D33">
        <v>39117962</v>
      </c>
      <c r="E33">
        <v>1</v>
      </c>
      <c r="F33">
        <v>1</v>
      </c>
      <c r="G33">
        <v>1</v>
      </c>
      <c r="H33">
        <v>3</v>
      </c>
      <c r="I33" t="s">
        <v>1013</v>
      </c>
      <c r="J33" t="s">
        <v>1014</v>
      </c>
      <c r="K33" t="s">
        <v>98</v>
      </c>
      <c r="L33">
        <v>1348</v>
      </c>
      <c r="N33">
        <v>1009</v>
      </c>
      <c r="O33" t="s">
        <v>99</v>
      </c>
      <c r="P33" t="s">
        <v>99</v>
      </c>
      <c r="Q33">
        <v>1000</v>
      </c>
      <c r="W33">
        <v>0</v>
      </c>
      <c r="X33">
        <v>-150994421</v>
      </c>
      <c r="Y33">
        <v>0.12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0</v>
      </c>
      <c r="AP33">
        <v>0</v>
      </c>
      <c r="AQ33">
        <v>1</v>
      </c>
      <c r="AR33">
        <v>0</v>
      </c>
      <c r="AT33">
        <v>0.12</v>
      </c>
      <c r="AV33">
        <v>0</v>
      </c>
      <c r="AW33">
        <v>2</v>
      </c>
      <c r="AX33">
        <v>51868247</v>
      </c>
      <c r="AY33">
        <v>1</v>
      </c>
      <c r="AZ33">
        <v>0</v>
      </c>
      <c r="BA33">
        <v>33</v>
      </c>
      <c r="BB33">
        <v>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Y33*Source!I30</f>
        <v>6.2880000000000005E-2</v>
      </c>
      <c r="CY33">
        <f>AA33</f>
        <v>0</v>
      </c>
      <c r="CZ33">
        <f>AE33</f>
        <v>0</v>
      </c>
      <c r="DA33">
        <f>AI33</f>
        <v>1</v>
      </c>
      <c r="DB33">
        <f t="shared" si="0"/>
        <v>0</v>
      </c>
      <c r="DC33">
        <f t="shared" si="1"/>
        <v>0</v>
      </c>
    </row>
    <row r="34" spans="1:107" x14ac:dyDescent="0.2">
      <c r="A34">
        <f>ROW(Source!A31)</f>
        <v>31</v>
      </c>
      <c r="B34">
        <v>51866571</v>
      </c>
      <c r="C34">
        <v>51866946</v>
      </c>
      <c r="D34">
        <v>23129555</v>
      </c>
      <c r="E34">
        <v>1</v>
      </c>
      <c r="F34">
        <v>1</v>
      </c>
      <c r="G34">
        <v>1</v>
      </c>
      <c r="H34">
        <v>1</v>
      </c>
      <c r="I34" t="s">
        <v>1019</v>
      </c>
      <c r="K34" t="s">
        <v>1020</v>
      </c>
      <c r="L34">
        <v>1369</v>
      </c>
      <c r="N34">
        <v>1013</v>
      </c>
      <c r="O34" t="s">
        <v>71</v>
      </c>
      <c r="P34" t="s">
        <v>71</v>
      </c>
      <c r="Q34">
        <v>1</v>
      </c>
      <c r="W34">
        <v>0</v>
      </c>
      <c r="X34">
        <v>1250814213</v>
      </c>
      <c r="Y34">
        <v>9.1</v>
      </c>
      <c r="AA34">
        <v>0</v>
      </c>
      <c r="AB34">
        <v>0</v>
      </c>
      <c r="AC34">
        <v>0</v>
      </c>
      <c r="AD34">
        <v>143.84</v>
      </c>
      <c r="AE34">
        <v>0</v>
      </c>
      <c r="AF34">
        <v>0</v>
      </c>
      <c r="AG34">
        <v>0</v>
      </c>
      <c r="AH34">
        <v>143.84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0</v>
      </c>
      <c r="AP34">
        <v>0</v>
      </c>
      <c r="AQ34">
        <v>1</v>
      </c>
      <c r="AR34">
        <v>0</v>
      </c>
      <c r="AT34">
        <v>9.1</v>
      </c>
      <c r="AV34">
        <v>1</v>
      </c>
      <c r="AW34">
        <v>2</v>
      </c>
      <c r="AX34">
        <v>51868245</v>
      </c>
      <c r="AY34">
        <v>1</v>
      </c>
      <c r="AZ34">
        <v>0</v>
      </c>
      <c r="BA34">
        <v>34</v>
      </c>
      <c r="BB34">
        <v>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1308.944</v>
      </c>
      <c r="BN34">
        <v>9.1</v>
      </c>
      <c r="BO34">
        <v>0</v>
      </c>
      <c r="BP34">
        <v>1</v>
      </c>
      <c r="BQ34">
        <v>0</v>
      </c>
      <c r="BR34">
        <v>0</v>
      </c>
      <c r="BS34">
        <v>0</v>
      </c>
      <c r="BT34">
        <v>1308.944</v>
      </c>
      <c r="BU34">
        <v>9.1</v>
      </c>
      <c r="BV34">
        <v>0</v>
      </c>
      <c r="BW34">
        <v>1</v>
      </c>
      <c r="CX34">
        <f>Y34*Source!I31</f>
        <v>4.7683999999999997</v>
      </c>
      <c r="CY34">
        <f>AD34</f>
        <v>143.84</v>
      </c>
      <c r="CZ34">
        <f>AH34</f>
        <v>143.84</v>
      </c>
      <c r="DA34">
        <f>AL34</f>
        <v>1</v>
      </c>
      <c r="DB34">
        <f t="shared" si="0"/>
        <v>1308.94</v>
      </c>
      <c r="DC34">
        <f t="shared" si="1"/>
        <v>0</v>
      </c>
    </row>
    <row r="35" spans="1:107" x14ac:dyDescent="0.2">
      <c r="A35">
        <f>ROW(Source!A31)</f>
        <v>31</v>
      </c>
      <c r="B35">
        <v>51866571</v>
      </c>
      <c r="C35">
        <v>51866946</v>
      </c>
      <c r="D35">
        <v>39127715</v>
      </c>
      <c r="E35">
        <v>1</v>
      </c>
      <c r="F35">
        <v>1</v>
      </c>
      <c r="G35">
        <v>1</v>
      </c>
      <c r="H35">
        <v>2</v>
      </c>
      <c r="I35" t="s">
        <v>1021</v>
      </c>
      <c r="J35" t="s">
        <v>1022</v>
      </c>
      <c r="K35" t="s">
        <v>1023</v>
      </c>
      <c r="L35">
        <v>1368</v>
      </c>
      <c r="N35">
        <v>1011</v>
      </c>
      <c r="O35" t="s">
        <v>1006</v>
      </c>
      <c r="P35" t="s">
        <v>1006</v>
      </c>
      <c r="Q35">
        <v>1</v>
      </c>
      <c r="W35">
        <v>0</v>
      </c>
      <c r="X35">
        <v>-946971640</v>
      </c>
      <c r="Y35">
        <v>0.12</v>
      </c>
      <c r="AA35">
        <v>0</v>
      </c>
      <c r="AB35">
        <v>7.55</v>
      </c>
      <c r="AC35">
        <v>0</v>
      </c>
      <c r="AD35">
        <v>0</v>
      </c>
      <c r="AE35">
        <v>0</v>
      </c>
      <c r="AF35">
        <v>7.55</v>
      </c>
      <c r="AG35">
        <v>0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0</v>
      </c>
      <c r="AP35">
        <v>0</v>
      </c>
      <c r="AQ35">
        <v>1</v>
      </c>
      <c r="AR35">
        <v>0</v>
      </c>
      <c r="AT35">
        <v>0.12</v>
      </c>
      <c r="AV35">
        <v>0</v>
      </c>
      <c r="AW35">
        <v>2</v>
      </c>
      <c r="AX35">
        <v>51868246</v>
      </c>
      <c r="AY35">
        <v>1</v>
      </c>
      <c r="AZ35">
        <v>0</v>
      </c>
      <c r="BA35">
        <v>35</v>
      </c>
      <c r="BB35">
        <v>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0.90600000000000003</v>
      </c>
      <c r="BL35">
        <v>0</v>
      </c>
      <c r="BM35">
        <v>0</v>
      </c>
      <c r="BN35">
        <v>0</v>
      </c>
      <c r="BO35">
        <v>0</v>
      </c>
      <c r="BP35">
        <v>1</v>
      </c>
      <c r="BQ35">
        <v>0</v>
      </c>
      <c r="BR35">
        <v>0.90600000000000003</v>
      </c>
      <c r="BS35">
        <v>0</v>
      </c>
      <c r="BT35">
        <v>0</v>
      </c>
      <c r="BU35">
        <v>0</v>
      </c>
      <c r="BV35">
        <v>0</v>
      </c>
      <c r="BW35">
        <v>1</v>
      </c>
      <c r="CX35">
        <f>Y35*Source!I31</f>
        <v>6.2880000000000005E-2</v>
      </c>
      <c r="CY35">
        <f>AB35</f>
        <v>7.55</v>
      </c>
      <c r="CZ35">
        <f>AF35</f>
        <v>7.55</v>
      </c>
      <c r="DA35">
        <f>AJ35</f>
        <v>1</v>
      </c>
      <c r="DB35">
        <f t="shared" si="0"/>
        <v>0.91</v>
      </c>
      <c r="DC35">
        <f t="shared" si="1"/>
        <v>0</v>
      </c>
    </row>
    <row r="36" spans="1:107" x14ac:dyDescent="0.2">
      <c r="A36">
        <f>ROW(Source!A31)</f>
        <v>31</v>
      </c>
      <c r="B36">
        <v>51866571</v>
      </c>
      <c r="C36">
        <v>51866946</v>
      </c>
      <c r="D36">
        <v>39117962</v>
      </c>
      <c r="E36">
        <v>1</v>
      </c>
      <c r="F36">
        <v>1</v>
      </c>
      <c r="G36">
        <v>1</v>
      </c>
      <c r="H36">
        <v>3</v>
      </c>
      <c r="I36" t="s">
        <v>1013</v>
      </c>
      <c r="J36" t="s">
        <v>1014</v>
      </c>
      <c r="K36" t="s">
        <v>98</v>
      </c>
      <c r="L36">
        <v>1348</v>
      </c>
      <c r="N36">
        <v>1009</v>
      </c>
      <c r="O36" t="s">
        <v>99</v>
      </c>
      <c r="P36" t="s">
        <v>99</v>
      </c>
      <c r="Q36">
        <v>1000</v>
      </c>
      <c r="W36">
        <v>0</v>
      </c>
      <c r="X36">
        <v>-150994421</v>
      </c>
      <c r="Y36">
        <v>0.12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0</v>
      </c>
      <c r="AP36">
        <v>0</v>
      </c>
      <c r="AQ36">
        <v>1</v>
      </c>
      <c r="AR36">
        <v>0</v>
      </c>
      <c r="AT36">
        <v>0.12</v>
      </c>
      <c r="AV36">
        <v>0</v>
      </c>
      <c r="AW36">
        <v>2</v>
      </c>
      <c r="AX36">
        <v>51868247</v>
      </c>
      <c r="AY36">
        <v>1</v>
      </c>
      <c r="AZ36">
        <v>0</v>
      </c>
      <c r="BA36">
        <v>36</v>
      </c>
      <c r="BB36">
        <v>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Y36*Source!I31</f>
        <v>6.2880000000000005E-2</v>
      </c>
      <c r="CY36">
        <f>AA36</f>
        <v>0</v>
      </c>
      <c r="CZ36">
        <f>AE36</f>
        <v>0</v>
      </c>
      <c r="DA36">
        <f>AI36</f>
        <v>1</v>
      </c>
      <c r="DB36">
        <f t="shared" si="0"/>
        <v>0</v>
      </c>
      <c r="DC36">
        <f t="shared" si="1"/>
        <v>0</v>
      </c>
    </row>
    <row r="37" spans="1:107" x14ac:dyDescent="0.2">
      <c r="A37">
        <f>ROW(Source!A32)</f>
        <v>32</v>
      </c>
      <c r="B37">
        <v>51866573</v>
      </c>
      <c r="C37">
        <v>51866955</v>
      </c>
      <c r="D37">
        <v>23134955</v>
      </c>
      <c r="E37">
        <v>1</v>
      </c>
      <c r="F37">
        <v>1</v>
      </c>
      <c r="G37">
        <v>1</v>
      </c>
      <c r="H37">
        <v>1</v>
      </c>
      <c r="I37" t="s">
        <v>1024</v>
      </c>
      <c r="K37" t="s">
        <v>1025</v>
      </c>
      <c r="L37">
        <v>1369</v>
      </c>
      <c r="N37">
        <v>1013</v>
      </c>
      <c r="O37" t="s">
        <v>71</v>
      </c>
      <c r="P37" t="s">
        <v>71</v>
      </c>
      <c r="Q37">
        <v>1</v>
      </c>
      <c r="W37">
        <v>0</v>
      </c>
      <c r="X37">
        <v>-1698459243</v>
      </c>
      <c r="Y37">
        <v>171.53399999999999</v>
      </c>
      <c r="AA37">
        <v>0</v>
      </c>
      <c r="AB37">
        <v>0</v>
      </c>
      <c r="AC37">
        <v>0</v>
      </c>
      <c r="AD37">
        <v>153.43</v>
      </c>
      <c r="AE37">
        <v>0</v>
      </c>
      <c r="AF37">
        <v>0</v>
      </c>
      <c r="AG37">
        <v>0</v>
      </c>
      <c r="AH37">
        <v>153.43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0</v>
      </c>
      <c r="AP37">
        <v>1</v>
      </c>
      <c r="AQ37">
        <v>1</v>
      </c>
      <c r="AR37">
        <v>0</v>
      </c>
      <c r="AT37">
        <v>149.16</v>
      </c>
      <c r="AU37" t="s">
        <v>821</v>
      </c>
      <c r="AV37">
        <v>1</v>
      </c>
      <c r="AW37">
        <v>2</v>
      </c>
      <c r="AX37">
        <v>51866968</v>
      </c>
      <c r="AY37">
        <v>1</v>
      </c>
      <c r="AZ37">
        <v>0</v>
      </c>
      <c r="BA37">
        <v>37</v>
      </c>
      <c r="BB37">
        <v>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22885.6188</v>
      </c>
      <c r="BN37">
        <v>149.16</v>
      </c>
      <c r="BO37">
        <v>0</v>
      </c>
      <c r="BP37">
        <v>1</v>
      </c>
      <c r="BQ37">
        <v>0</v>
      </c>
      <c r="BR37">
        <v>0</v>
      </c>
      <c r="BS37">
        <v>0</v>
      </c>
      <c r="BT37">
        <v>26318.461619999998</v>
      </c>
      <c r="BU37">
        <v>171.53399999999999</v>
      </c>
      <c r="BV37">
        <v>0</v>
      </c>
      <c r="BW37">
        <v>1</v>
      </c>
      <c r="CX37">
        <f>Y37*Source!I32</f>
        <v>179.03003580000001</v>
      </c>
      <c r="CY37">
        <f>AD37</f>
        <v>153.43</v>
      </c>
      <c r="CZ37">
        <f>AH37</f>
        <v>153.43</v>
      </c>
      <c r="DA37">
        <f>AL37</f>
        <v>1</v>
      </c>
      <c r="DB37">
        <f>ROUND((ROUND(AT37*CZ37,2)*1.15),6)</f>
        <v>26318.463</v>
      </c>
      <c r="DC37">
        <f>ROUND((ROUND(AT37*AG37,2)*1.15),6)</f>
        <v>0</v>
      </c>
    </row>
    <row r="38" spans="1:107" x14ac:dyDescent="0.2">
      <c r="A38">
        <f>ROW(Source!A32)</f>
        <v>32</v>
      </c>
      <c r="B38">
        <v>51866573</v>
      </c>
      <c r="C38">
        <v>51866955</v>
      </c>
      <c r="D38">
        <v>121548</v>
      </c>
      <c r="E38">
        <v>1</v>
      </c>
      <c r="F38">
        <v>1</v>
      </c>
      <c r="G38">
        <v>1</v>
      </c>
      <c r="H38">
        <v>1</v>
      </c>
      <c r="I38" t="s">
        <v>96</v>
      </c>
      <c r="K38" t="s">
        <v>1001</v>
      </c>
      <c r="L38">
        <v>608254</v>
      </c>
      <c r="N38">
        <v>1013</v>
      </c>
      <c r="O38" t="s">
        <v>1002</v>
      </c>
      <c r="P38" t="s">
        <v>1002</v>
      </c>
      <c r="Q38">
        <v>1</v>
      </c>
      <c r="W38">
        <v>0</v>
      </c>
      <c r="X38">
        <v>-185737400</v>
      </c>
      <c r="Y38">
        <v>0.82499999999999996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0</v>
      </c>
      <c r="AP38">
        <v>1</v>
      </c>
      <c r="AQ38">
        <v>1</v>
      </c>
      <c r="AR38">
        <v>0</v>
      </c>
      <c r="AT38">
        <v>0.66</v>
      </c>
      <c r="AU38" t="s">
        <v>820</v>
      </c>
      <c r="AV38">
        <v>2</v>
      </c>
      <c r="AW38">
        <v>2</v>
      </c>
      <c r="AX38">
        <v>51866969</v>
      </c>
      <c r="AY38">
        <v>1</v>
      </c>
      <c r="AZ38">
        <v>0</v>
      </c>
      <c r="BA38">
        <v>38</v>
      </c>
      <c r="BB38">
        <v>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0.66</v>
      </c>
      <c r="BP38">
        <v>1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0.82499999999999996</v>
      </c>
      <c r="BW38">
        <v>1</v>
      </c>
      <c r="CX38">
        <f>Y38*Source!I32</f>
        <v>0.8610525</v>
      </c>
      <c r="CY38">
        <f>AD38</f>
        <v>0</v>
      </c>
      <c r="CZ38">
        <f>AH38</f>
        <v>0</v>
      </c>
      <c r="DA38">
        <f>AL38</f>
        <v>1</v>
      </c>
      <c r="DB38">
        <f>ROUND((ROUND(AT38*CZ38,2)*1.25),6)</f>
        <v>0</v>
      </c>
      <c r="DC38">
        <f>ROUND((ROUND(AT38*AG38,2)*1.25),6)</f>
        <v>0</v>
      </c>
    </row>
    <row r="39" spans="1:107" x14ac:dyDescent="0.2">
      <c r="A39">
        <f>ROW(Source!A32)</f>
        <v>32</v>
      </c>
      <c r="B39">
        <v>51866573</v>
      </c>
      <c r="C39">
        <v>51866955</v>
      </c>
      <c r="D39">
        <v>39127752</v>
      </c>
      <c r="E39">
        <v>1</v>
      </c>
      <c r="F39">
        <v>1</v>
      </c>
      <c r="G39">
        <v>1</v>
      </c>
      <c r="H39">
        <v>2</v>
      </c>
      <c r="I39" t="s">
        <v>1003</v>
      </c>
      <c r="J39" t="s">
        <v>1004</v>
      </c>
      <c r="K39" t="s">
        <v>1005</v>
      </c>
      <c r="L39">
        <v>1368</v>
      </c>
      <c r="N39">
        <v>1011</v>
      </c>
      <c r="O39" t="s">
        <v>1006</v>
      </c>
      <c r="P39" t="s">
        <v>1006</v>
      </c>
      <c r="Q39">
        <v>1</v>
      </c>
      <c r="W39">
        <v>0</v>
      </c>
      <c r="X39">
        <v>1753337916</v>
      </c>
      <c r="Y39">
        <v>0.82499999999999996</v>
      </c>
      <c r="AA39">
        <v>0</v>
      </c>
      <c r="AB39">
        <v>299.41000000000003</v>
      </c>
      <c r="AC39">
        <v>229.54</v>
      </c>
      <c r="AD39">
        <v>0</v>
      </c>
      <c r="AE39">
        <v>0</v>
      </c>
      <c r="AF39">
        <v>299.41000000000003</v>
      </c>
      <c r="AG39">
        <v>229.54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0</v>
      </c>
      <c r="AP39">
        <v>1</v>
      </c>
      <c r="AQ39">
        <v>1</v>
      </c>
      <c r="AR39">
        <v>0</v>
      </c>
      <c r="AT39">
        <v>0.66</v>
      </c>
      <c r="AU39" t="s">
        <v>820</v>
      </c>
      <c r="AV39">
        <v>0</v>
      </c>
      <c r="AW39">
        <v>2</v>
      </c>
      <c r="AX39">
        <v>51866970</v>
      </c>
      <c r="AY39">
        <v>1</v>
      </c>
      <c r="AZ39">
        <v>0</v>
      </c>
      <c r="BA39">
        <v>39</v>
      </c>
      <c r="BB39">
        <v>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197.61060000000001</v>
      </c>
      <c r="BL39">
        <v>151.49639999999999</v>
      </c>
      <c r="BM39">
        <v>0</v>
      </c>
      <c r="BN39">
        <v>0</v>
      </c>
      <c r="BO39">
        <v>0</v>
      </c>
      <c r="BP39">
        <v>1</v>
      </c>
      <c r="BQ39">
        <v>0</v>
      </c>
      <c r="BR39">
        <v>247.01325</v>
      </c>
      <c r="BS39">
        <v>189.37049999999999</v>
      </c>
      <c r="BT39">
        <v>0</v>
      </c>
      <c r="BU39">
        <v>0</v>
      </c>
      <c r="BV39">
        <v>0</v>
      </c>
      <c r="BW39">
        <v>1</v>
      </c>
      <c r="CX39">
        <f>Y39*Source!I32</f>
        <v>0.8610525</v>
      </c>
      <c r="CY39">
        <f>AB39</f>
        <v>299.41000000000003</v>
      </c>
      <c r="CZ39">
        <f>AF39</f>
        <v>299.41000000000003</v>
      </c>
      <c r="DA39">
        <f>AJ39</f>
        <v>1</v>
      </c>
      <c r="DB39">
        <f>ROUND((ROUND(AT39*CZ39,2)*1.25),6)</f>
        <v>247.01249999999999</v>
      </c>
      <c r="DC39">
        <f>ROUND((ROUND(AT39*AG39,2)*1.25),6)</f>
        <v>189.375</v>
      </c>
    </row>
    <row r="40" spans="1:107" x14ac:dyDescent="0.2">
      <c r="A40">
        <f>ROW(Source!A32)</f>
        <v>32</v>
      </c>
      <c r="B40">
        <v>51866573</v>
      </c>
      <c r="C40">
        <v>51866955</v>
      </c>
      <c r="D40">
        <v>39128477</v>
      </c>
      <c r="E40">
        <v>1</v>
      </c>
      <c r="F40">
        <v>1</v>
      </c>
      <c r="G40">
        <v>1</v>
      </c>
      <c r="H40">
        <v>2</v>
      </c>
      <c r="I40" t="s">
        <v>1026</v>
      </c>
      <c r="J40" t="s">
        <v>1027</v>
      </c>
      <c r="K40" t="s">
        <v>1028</v>
      </c>
      <c r="L40">
        <v>1368</v>
      </c>
      <c r="N40">
        <v>1011</v>
      </c>
      <c r="O40" t="s">
        <v>1006</v>
      </c>
      <c r="P40" t="s">
        <v>1006</v>
      </c>
      <c r="Q40">
        <v>1</v>
      </c>
      <c r="W40">
        <v>0</v>
      </c>
      <c r="X40">
        <v>325281995</v>
      </c>
      <c r="Y40">
        <v>16.512499999999999</v>
      </c>
      <c r="AA40">
        <v>0</v>
      </c>
      <c r="AB40">
        <v>11.05</v>
      </c>
      <c r="AC40">
        <v>0</v>
      </c>
      <c r="AD40">
        <v>0</v>
      </c>
      <c r="AE40">
        <v>0</v>
      </c>
      <c r="AF40">
        <v>11.05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0</v>
      </c>
      <c r="AP40">
        <v>1</v>
      </c>
      <c r="AQ40">
        <v>1</v>
      </c>
      <c r="AR40">
        <v>0</v>
      </c>
      <c r="AT40">
        <v>13.21</v>
      </c>
      <c r="AU40" t="s">
        <v>820</v>
      </c>
      <c r="AV40">
        <v>0</v>
      </c>
      <c r="AW40">
        <v>2</v>
      </c>
      <c r="AX40">
        <v>51866971</v>
      </c>
      <c r="AY40">
        <v>1</v>
      </c>
      <c r="AZ40">
        <v>0</v>
      </c>
      <c r="BA40">
        <v>40</v>
      </c>
      <c r="BB40">
        <v>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145.97049999999999</v>
      </c>
      <c r="BL40">
        <v>0</v>
      </c>
      <c r="BM40">
        <v>0</v>
      </c>
      <c r="BN40">
        <v>0</v>
      </c>
      <c r="BO40">
        <v>0</v>
      </c>
      <c r="BP40">
        <v>1</v>
      </c>
      <c r="BQ40">
        <v>0</v>
      </c>
      <c r="BR40">
        <v>182.46312499999999</v>
      </c>
      <c r="BS40">
        <v>0</v>
      </c>
      <c r="BT40">
        <v>0</v>
      </c>
      <c r="BU40">
        <v>0</v>
      </c>
      <c r="BV40">
        <v>0</v>
      </c>
      <c r="BW40">
        <v>1</v>
      </c>
      <c r="CX40">
        <f>Y40*Source!I32</f>
        <v>17.23409625</v>
      </c>
      <c r="CY40">
        <f>AB40</f>
        <v>11.05</v>
      </c>
      <c r="CZ40">
        <f>AF40</f>
        <v>11.05</v>
      </c>
      <c r="DA40">
        <f>AJ40</f>
        <v>1</v>
      </c>
      <c r="DB40">
        <f>ROUND((ROUND(AT40*CZ40,2)*1.25),6)</f>
        <v>182.46250000000001</v>
      </c>
      <c r="DC40">
        <f>ROUND((ROUND(AT40*AG40,2)*1.25),6)</f>
        <v>0</v>
      </c>
    </row>
    <row r="41" spans="1:107" x14ac:dyDescent="0.2">
      <c r="A41">
        <f>ROW(Source!A32)</f>
        <v>32</v>
      </c>
      <c r="B41">
        <v>51866573</v>
      </c>
      <c r="C41">
        <v>51866955</v>
      </c>
      <c r="D41">
        <v>39129310</v>
      </c>
      <c r="E41">
        <v>1</v>
      </c>
      <c r="F41">
        <v>1</v>
      </c>
      <c r="G41">
        <v>1</v>
      </c>
      <c r="H41">
        <v>2</v>
      </c>
      <c r="I41" t="s">
        <v>1029</v>
      </c>
      <c r="J41" t="s">
        <v>1030</v>
      </c>
      <c r="K41" t="s">
        <v>1031</v>
      </c>
      <c r="L41">
        <v>1368</v>
      </c>
      <c r="N41">
        <v>1011</v>
      </c>
      <c r="O41" t="s">
        <v>1006</v>
      </c>
      <c r="P41" t="s">
        <v>1006</v>
      </c>
      <c r="Q41">
        <v>1</v>
      </c>
      <c r="W41">
        <v>0</v>
      </c>
      <c r="X41">
        <v>1067600123</v>
      </c>
      <c r="Y41">
        <v>25.4375</v>
      </c>
      <c r="AA41">
        <v>0</v>
      </c>
      <c r="AB41">
        <v>7.6</v>
      </c>
      <c r="AC41">
        <v>0</v>
      </c>
      <c r="AD41">
        <v>0</v>
      </c>
      <c r="AE41">
        <v>0</v>
      </c>
      <c r="AF41">
        <v>7.6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0</v>
      </c>
      <c r="AP41">
        <v>1</v>
      </c>
      <c r="AQ41">
        <v>1</v>
      </c>
      <c r="AR41">
        <v>0</v>
      </c>
      <c r="AT41">
        <v>20.350000000000001</v>
      </c>
      <c r="AU41" t="s">
        <v>820</v>
      </c>
      <c r="AV41">
        <v>0</v>
      </c>
      <c r="AW41">
        <v>2</v>
      </c>
      <c r="AX41">
        <v>51866972</v>
      </c>
      <c r="AY41">
        <v>1</v>
      </c>
      <c r="AZ41">
        <v>0</v>
      </c>
      <c r="BA41">
        <v>41</v>
      </c>
      <c r="BB41">
        <v>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154.66</v>
      </c>
      <c r="BL41">
        <v>0</v>
      </c>
      <c r="BM41">
        <v>0</v>
      </c>
      <c r="BN41">
        <v>0</v>
      </c>
      <c r="BO41">
        <v>0</v>
      </c>
      <c r="BP41">
        <v>1</v>
      </c>
      <c r="BQ41">
        <v>0</v>
      </c>
      <c r="BR41">
        <v>193.32499999999999</v>
      </c>
      <c r="BS41">
        <v>0</v>
      </c>
      <c r="BT41">
        <v>0</v>
      </c>
      <c r="BU41">
        <v>0</v>
      </c>
      <c r="BV41">
        <v>0</v>
      </c>
      <c r="BW41">
        <v>1</v>
      </c>
      <c r="CX41">
        <f>Y41*Source!I32</f>
        <v>26.549118750000002</v>
      </c>
      <c r="CY41">
        <f>AB41</f>
        <v>7.6</v>
      </c>
      <c r="CZ41">
        <f>AF41</f>
        <v>7.6</v>
      </c>
      <c r="DA41">
        <f>AJ41</f>
        <v>1</v>
      </c>
      <c r="DB41">
        <f>ROUND((ROUND(AT41*CZ41,2)*1.25),6)</f>
        <v>193.32499999999999</v>
      </c>
      <c r="DC41">
        <f>ROUND((ROUND(AT41*AG41,2)*1.25),6)</f>
        <v>0</v>
      </c>
    </row>
    <row r="42" spans="1:107" x14ac:dyDescent="0.2">
      <c r="A42">
        <f>ROW(Source!A32)</f>
        <v>32</v>
      </c>
      <c r="B42">
        <v>51866573</v>
      </c>
      <c r="C42">
        <v>51866955</v>
      </c>
      <c r="D42">
        <v>39129630</v>
      </c>
      <c r="E42">
        <v>1</v>
      </c>
      <c r="F42">
        <v>1</v>
      </c>
      <c r="G42">
        <v>1</v>
      </c>
      <c r="H42">
        <v>2</v>
      </c>
      <c r="I42" t="s">
        <v>1032</v>
      </c>
      <c r="J42" t="s">
        <v>1033</v>
      </c>
      <c r="K42" t="s">
        <v>1034</v>
      </c>
      <c r="L42">
        <v>1368</v>
      </c>
      <c r="N42">
        <v>1011</v>
      </c>
      <c r="O42" t="s">
        <v>1006</v>
      </c>
      <c r="P42" t="s">
        <v>1006</v>
      </c>
      <c r="Q42">
        <v>1</v>
      </c>
      <c r="W42">
        <v>0</v>
      </c>
      <c r="X42">
        <v>-671646184</v>
      </c>
      <c r="Y42">
        <v>4.4625000000000004</v>
      </c>
      <c r="AA42">
        <v>0</v>
      </c>
      <c r="AB42">
        <v>772.82</v>
      </c>
      <c r="AC42">
        <v>0</v>
      </c>
      <c r="AD42">
        <v>0</v>
      </c>
      <c r="AE42">
        <v>0</v>
      </c>
      <c r="AF42">
        <v>772.82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0</v>
      </c>
      <c r="AP42">
        <v>1</v>
      </c>
      <c r="AQ42">
        <v>1</v>
      </c>
      <c r="AR42">
        <v>0</v>
      </c>
      <c r="AT42">
        <v>3.57</v>
      </c>
      <c r="AU42" t="s">
        <v>820</v>
      </c>
      <c r="AV42">
        <v>0</v>
      </c>
      <c r="AW42">
        <v>2</v>
      </c>
      <c r="AX42">
        <v>51866973</v>
      </c>
      <c r="AY42">
        <v>2</v>
      </c>
      <c r="AZ42">
        <v>65536</v>
      </c>
      <c r="BA42">
        <v>42</v>
      </c>
      <c r="BB42">
        <v>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2758.9674</v>
      </c>
      <c r="BL42">
        <v>0</v>
      </c>
      <c r="BM42">
        <v>0</v>
      </c>
      <c r="BN42">
        <v>0</v>
      </c>
      <c r="BO42">
        <v>0</v>
      </c>
      <c r="BP42">
        <v>1</v>
      </c>
      <c r="BQ42">
        <v>0</v>
      </c>
      <c r="BR42">
        <v>3448.7092499999999</v>
      </c>
      <c r="BS42">
        <v>0</v>
      </c>
      <c r="BT42">
        <v>0</v>
      </c>
      <c r="BU42">
        <v>0</v>
      </c>
      <c r="BV42">
        <v>0</v>
      </c>
      <c r="BW42">
        <v>1</v>
      </c>
      <c r="CX42">
        <f>Y42*Source!I32</f>
        <v>4.6575112500000007</v>
      </c>
      <c r="CY42">
        <f>AB42</f>
        <v>772.82</v>
      </c>
      <c r="CZ42">
        <f>AF42</f>
        <v>772.82</v>
      </c>
      <c r="DA42">
        <f>AJ42</f>
        <v>1</v>
      </c>
      <c r="DB42">
        <f>ROUND((ROUND(AT42*CZ42,2)*1.25),6)</f>
        <v>3448.7125000000001</v>
      </c>
      <c r="DC42">
        <f>ROUND((ROUND(AT42*AG42,2)*1.25),6)</f>
        <v>0</v>
      </c>
    </row>
    <row r="43" spans="1:107" x14ac:dyDescent="0.2">
      <c r="A43">
        <f>ROW(Source!A32)</f>
        <v>32</v>
      </c>
      <c r="B43">
        <v>51866573</v>
      </c>
      <c r="C43">
        <v>51866955</v>
      </c>
      <c r="D43">
        <v>39058207</v>
      </c>
      <c r="E43">
        <v>1</v>
      </c>
      <c r="F43">
        <v>1</v>
      </c>
      <c r="G43">
        <v>1</v>
      </c>
      <c r="H43">
        <v>3</v>
      </c>
      <c r="I43" t="s">
        <v>1035</v>
      </c>
      <c r="J43" t="s">
        <v>1036</v>
      </c>
      <c r="K43" t="s">
        <v>1037</v>
      </c>
      <c r="L43">
        <v>1301</v>
      </c>
      <c r="N43">
        <v>1003</v>
      </c>
      <c r="O43" t="s">
        <v>171</v>
      </c>
      <c r="P43" t="s">
        <v>171</v>
      </c>
      <c r="Q43">
        <v>1</v>
      </c>
      <c r="W43">
        <v>0</v>
      </c>
      <c r="X43">
        <v>519678588</v>
      </c>
      <c r="Y43">
        <v>253</v>
      </c>
      <c r="AA43">
        <v>16.82</v>
      </c>
      <c r="AB43">
        <v>0</v>
      </c>
      <c r="AC43">
        <v>0</v>
      </c>
      <c r="AD43">
        <v>0</v>
      </c>
      <c r="AE43">
        <v>16.82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0</v>
      </c>
      <c r="AP43">
        <v>0</v>
      </c>
      <c r="AQ43">
        <v>1</v>
      </c>
      <c r="AR43">
        <v>0</v>
      </c>
      <c r="AT43">
        <v>253</v>
      </c>
      <c r="AV43">
        <v>0</v>
      </c>
      <c r="AW43">
        <v>2</v>
      </c>
      <c r="AX43">
        <v>51866974</v>
      </c>
      <c r="AY43">
        <v>1</v>
      </c>
      <c r="AZ43">
        <v>0</v>
      </c>
      <c r="BA43">
        <v>43</v>
      </c>
      <c r="BB43">
        <v>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4255.46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1</v>
      </c>
      <c r="BQ43">
        <v>4255.46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1</v>
      </c>
      <c r="CX43">
        <f>Y43*Source!I32</f>
        <v>264.05610000000001</v>
      </c>
      <c r="CY43">
        <f t="shared" ref="CY43:CY48" si="2">AA43</f>
        <v>16.82</v>
      </c>
      <c r="CZ43">
        <f t="shared" ref="CZ43:CZ48" si="3">AE43</f>
        <v>16.82</v>
      </c>
      <c r="DA43">
        <f t="shared" ref="DA43:DA48" si="4">AI43</f>
        <v>1</v>
      </c>
      <c r="DB43">
        <f t="shared" ref="DB43:DB48" si="5">ROUND(ROUND(AT43*CZ43,2),6)</f>
        <v>4255.46</v>
      </c>
      <c r="DC43">
        <f t="shared" ref="DC43:DC48" si="6">ROUND(ROUND(AT43*AG43,2),6)</f>
        <v>0</v>
      </c>
    </row>
    <row r="44" spans="1:107" x14ac:dyDescent="0.2">
      <c r="A44">
        <f>ROW(Source!A32)</f>
        <v>32</v>
      </c>
      <c r="B44">
        <v>51866573</v>
      </c>
      <c r="C44">
        <v>51866955</v>
      </c>
      <c r="D44">
        <v>39058208</v>
      </c>
      <c r="E44">
        <v>1</v>
      </c>
      <c r="F44">
        <v>1</v>
      </c>
      <c r="G44">
        <v>1</v>
      </c>
      <c r="H44">
        <v>3</v>
      </c>
      <c r="I44" t="s">
        <v>1038</v>
      </c>
      <c r="J44" t="s">
        <v>1039</v>
      </c>
      <c r="K44" t="s">
        <v>1040</v>
      </c>
      <c r="L44">
        <v>1301</v>
      </c>
      <c r="N44">
        <v>1003</v>
      </c>
      <c r="O44" t="s">
        <v>171</v>
      </c>
      <c r="P44" t="s">
        <v>171</v>
      </c>
      <c r="Q44">
        <v>1</v>
      </c>
      <c r="W44">
        <v>0</v>
      </c>
      <c r="X44">
        <v>1525629332</v>
      </c>
      <c r="Y44">
        <v>59</v>
      </c>
      <c r="AA44">
        <v>23.87</v>
      </c>
      <c r="AB44">
        <v>0</v>
      </c>
      <c r="AC44">
        <v>0</v>
      </c>
      <c r="AD44">
        <v>0</v>
      </c>
      <c r="AE44">
        <v>23.87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0</v>
      </c>
      <c r="AP44">
        <v>0</v>
      </c>
      <c r="AQ44">
        <v>1</v>
      </c>
      <c r="AR44">
        <v>0</v>
      </c>
      <c r="AT44">
        <v>59</v>
      </c>
      <c r="AV44">
        <v>0</v>
      </c>
      <c r="AW44">
        <v>2</v>
      </c>
      <c r="AX44">
        <v>51866975</v>
      </c>
      <c r="AY44">
        <v>1</v>
      </c>
      <c r="AZ44">
        <v>0</v>
      </c>
      <c r="BA44">
        <v>44</v>
      </c>
      <c r="BB44">
        <v>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1408.33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1</v>
      </c>
      <c r="BQ44">
        <v>1408.33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1</v>
      </c>
      <c r="CX44">
        <f>Y44*Source!I32</f>
        <v>61.578300000000006</v>
      </c>
      <c r="CY44">
        <f t="shared" si="2"/>
        <v>23.87</v>
      </c>
      <c r="CZ44">
        <f t="shared" si="3"/>
        <v>23.87</v>
      </c>
      <c r="DA44">
        <f t="shared" si="4"/>
        <v>1</v>
      </c>
      <c r="DB44">
        <f t="shared" si="5"/>
        <v>1408.33</v>
      </c>
      <c r="DC44">
        <f t="shared" si="6"/>
        <v>0</v>
      </c>
    </row>
    <row r="45" spans="1:107" x14ac:dyDescent="0.2">
      <c r="A45">
        <f>ROW(Source!A32)</f>
        <v>32</v>
      </c>
      <c r="B45">
        <v>51866573</v>
      </c>
      <c r="C45">
        <v>51866955</v>
      </c>
      <c r="D45">
        <v>39055947</v>
      </c>
      <c r="E45">
        <v>1</v>
      </c>
      <c r="F45">
        <v>1</v>
      </c>
      <c r="G45">
        <v>1</v>
      </c>
      <c r="H45">
        <v>3</v>
      </c>
      <c r="I45" t="s">
        <v>1041</v>
      </c>
      <c r="J45" t="s">
        <v>1042</v>
      </c>
      <c r="K45" t="s">
        <v>1043</v>
      </c>
      <c r="L45">
        <v>1354</v>
      </c>
      <c r="N45">
        <v>1010</v>
      </c>
      <c r="O45" t="s">
        <v>527</v>
      </c>
      <c r="P45" t="s">
        <v>527</v>
      </c>
      <c r="Q45">
        <v>1</v>
      </c>
      <c r="W45">
        <v>0</v>
      </c>
      <c r="X45">
        <v>697798727</v>
      </c>
      <c r="Y45">
        <v>71</v>
      </c>
      <c r="AA45">
        <v>223.91</v>
      </c>
      <c r="AB45">
        <v>0</v>
      </c>
      <c r="AC45">
        <v>0</v>
      </c>
      <c r="AD45">
        <v>0</v>
      </c>
      <c r="AE45">
        <v>223.91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0</v>
      </c>
      <c r="AP45">
        <v>0</v>
      </c>
      <c r="AQ45">
        <v>1</v>
      </c>
      <c r="AR45">
        <v>0</v>
      </c>
      <c r="AT45">
        <v>71</v>
      </c>
      <c r="AV45">
        <v>0</v>
      </c>
      <c r="AW45">
        <v>2</v>
      </c>
      <c r="AX45">
        <v>51866976</v>
      </c>
      <c r="AY45">
        <v>1</v>
      </c>
      <c r="AZ45">
        <v>0</v>
      </c>
      <c r="BA45">
        <v>45</v>
      </c>
      <c r="BB45">
        <v>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15897.61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1</v>
      </c>
      <c r="BQ45">
        <v>15897.61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1</v>
      </c>
      <c r="CX45">
        <f>Y45*Source!I32</f>
        <v>74.102699999999999</v>
      </c>
      <c r="CY45">
        <f t="shared" si="2"/>
        <v>223.91</v>
      </c>
      <c r="CZ45">
        <f t="shared" si="3"/>
        <v>223.91</v>
      </c>
      <c r="DA45">
        <f t="shared" si="4"/>
        <v>1</v>
      </c>
      <c r="DB45">
        <f t="shared" si="5"/>
        <v>15897.61</v>
      </c>
      <c r="DC45">
        <f t="shared" si="6"/>
        <v>0</v>
      </c>
    </row>
    <row r="46" spans="1:107" x14ac:dyDescent="0.2">
      <c r="A46">
        <f>ROW(Source!A32)</f>
        <v>32</v>
      </c>
      <c r="B46">
        <v>51866573</v>
      </c>
      <c r="C46">
        <v>51866955</v>
      </c>
      <c r="D46">
        <v>39058210</v>
      </c>
      <c r="E46">
        <v>1</v>
      </c>
      <c r="F46">
        <v>1</v>
      </c>
      <c r="G46">
        <v>1</v>
      </c>
      <c r="H46">
        <v>3</v>
      </c>
      <c r="I46" t="s">
        <v>1044</v>
      </c>
      <c r="J46" t="s">
        <v>1045</v>
      </c>
      <c r="K46" t="s">
        <v>1046</v>
      </c>
      <c r="L46">
        <v>1301</v>
      </c>
      <c r="N46">
        <v>1003</v>
      </c>
      <c r="O46" t="s">
        <v>171</v>
      </c>
      <c r="P46" t="s">
        <v>171</v>
      </c>
      <c r="Q46">
        <v>1</v>
      </c>
      <c r="W46">
        <v>0</v>
      </c>
      <c r="X46">
        <v>1303373379</v>
      </c>
      <c r="Y46">
        <v>159</v>
      </c>
      <c r="AA46">
        <v>18.829999999999998</v>
      </c>
      <c r="AB46">
        <v>0</v>
      </c>
      <c r="AC46">
        <v>0</v>
      </c>
      <c r="AD46">
        <v>0</v>
      </c>
      <c r="AE46">
        <v>18.829999999999998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0</v>
      </c>
      <c r="AP46">
        <v>0</v>
      </c>
      <c r="AQ46">
        <v>1</v>
      </c>
      <c r="AR46">
        <v>0</v>
      </c>
      <c r="AT46">
        <v>159</v>
      </c>
      <c r="AV46">
        <v>0</v>
      </c>
      <c r="AW46">
        <v>2</v>
      </c>
      <c r="AX46">
        <v>51866977</v>
      </c>
      <c r="AY46">
        <v>1</v>
      </c>
      <c r="AZ46">
        <v>0</v>
      </c>
      <c r="BA46">
        <v>46</v>
      </c>
      <c r="BB46">
        <v>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2993.97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1</v>
      </c>
      <c r="BQ46">
        <v>2993.97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1</v>
      </c>
      <c r="CX46">
        <f>Y46*Source!I32</f>
        <v>165.94830000000002</v>
      </c>
      <c r="CY46">
        <f t="shared" si="2"/>
        <v>18.829999999999998</v>
      </c>
      <c r="CZ46">
        <f t="shared" si="3"/>
        <v>18.829999999999998</v>
      </c>
      <c r="DA46">
        <f t="shared" si="4"/>
        <v>1</v>
      </c>
      <c r="DB46">
        <f t="shared" si="5"/>
        <v>2993.97</v>
      </c>
      <c r="DC46">
        <f t="shared" si="6"/>
        <v>0</v>
      </c>
    </row>
    <row r="47" spans="1:107" x14ac:dyDescent="0.2">
      <c r="A47">
        <f>ROW(Source!A32)</f>
        <v>32</v>
      </c>
      <c r="B47">
        <v>51866573</v>
      </c>
      <c r="C47">
        <v>51866955</v>
      </c>
      <c r="D47">
        <v>39062196</v>
      </c>
      <c r="E47">
        <v>1</v>
      </c>
      <c r="F47">
        <v>1</v>
      </c>
      <c r="G47">
        <v>1</v>
      </c>
      <c r="H47">
        <v>3</v>
      </c>
      <c r="I47" t="s">
        <v>1047</v>
      </c>
      <c r="J47" t="s">
        <v>1048</v>
      </c>
      <c r="K47" t="s">
        <v>1049</v>
      </c>
      <c r="L47">
        <v>1358</v>
      </c>
      <c r="N47">
        <v>1010</v>
      </c>
      <c r="O47" t="s">
        <v>1050</v>
      </c>
      <c r="P47" t="s">
        <v>1050</v>
      </c>
      <c r="Q47">
        <v>10</v>
      </c>
      <c r="W47">
        <v>0</v>
      </c>
      <c r="X47">
        <v>-17540141</v>
      </c>
      <c r="Y47">
        <v>41.2</v>
      </c>
      <c r="AA47">
        <v>17.43</v>
      </c>
      <c r="AB47">
        <v>0</v>
      </c>
      <c r="AC47">
        <v>0</v>
      </c>
      <c r="AD47">
        <v>0</v>
      </c>
      <c r="AE47">
        <v>17.43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0</v>
      </c>
      <c r="AP47">
        <v>0</v>
      </c>
      <c r="AQ47">
        <v>1</v>
      </c>
      <c r="AR47">
        <v>0</v>
      </c>
      <c r="AT47">
        <v>41.2</v>
      </c>
      <c r="AV47">
        <v>0</v>
      </c>
      <c r="AW47">
        <v>2</v>
      </c>
      <c r="AX47">
        <v>51866978</v>
      </c>
      <c r="AY47">
        <v>1</v>
      </c>
      <c r="AZ47">
        <v>0</v>
      </c>
      <c r="BA47">
        <v>47</v>
      </c>
      <c r="BB47">
        <v>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718.11599999999999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1</v>
      </c>
      <c r="BQ47">
        <v>718.11599999999999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1</v>
      </c>
      <c r="CX47">
        <f>Y47*Source!I32</f>
        <v>43.000440000000005</v>
      </c>
      <c r="CY47">
        <f t="shared" si="2"/>
        <v>17.43</v>
      </c>
      <c r="CZ47">
        <f t="shared" si="3"/>
        <v>17.43</v>
      </c>
      <c r="DA47">
        <f t="shared" si="4"/>
        <v>1</v>
      </c>
      <c r="DB47">
        <f t="shared" si="5"/>
        <v>718.12</v>
      </c>
      <c r="DC47">
        <f t="shared" si="6"/>
        <v>0</v>
      </c>
    </row>
    <row r="48" spans="1:107" x14ac:dyDescent="0.2">
      <c r="A48">
        <f>ROW(Source!A32)</f>
        <v>32</v>
      </c>
      <c r="B48">
        <v>51866573</v>
      </c>
      <c r="C48">
        <v>51866955</v>
      </c>
      <c r="D48">
        <v>39062985</v>
      </c>
      <c r="E48">
        <v>1</v>
      </c>
      <c r="F48">
        <v>1</v>
      </c>
      <c r="G48">
        <v>1</v>
      </c>
      <c r="H48">
        <v>3</v>
      </c>
      <c r="I48" t="s">
        <v>1051</v>
      </c>
      <c r="J48" t="s">
        <v>1052</v>
      </c>
      <c r="K48" t="s">
        <v>1053</v>
      </c>
      <c r="L48">
        <v>1354</v>
      </c>
      <c r="N48">
        <v>1010</v>
      </c>
      <c r="O48" t="s">
        <v>527</v>
      </c>
      <c r="P48" t="s">
        <v>527</v>
      </c>
      <c r="Q48">
        <v>1</v>
      </c>
      <c r="W48">
        <v>0</v>
      </c>
      <c r="X48">
        <v>565283389</v>
      </c>
      <c r="Y48">
        <v>800</v>
      </c>
      <c r="AA48">
        <v>2.23</v>
      </c>
      <c r="AB48">
        <v>0</v>
      </c>
      <c r="AC48">
        <v>0</v>
      </c>
      <c r="AD48">
        <v>0</v>
      </c>
      <c r="AE48">
        <v>2.23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0</v>
      </c>
      <c r="AP48">
        <v>0</v>
      </c>
      <c r="AQ48">
        <v>1</v>
      </c>
      <c r="AR48">
        <v>0</v>
      </c>
      <c r="AT48">
        <v>800</v>
      </c>
      <c r="AV48">
        <v>0</v>
      </c>
      <c r="AW48">
        <v>2</v>
      </c>
      <c r="AX48">
        <v>51866979</v>
      </c>
      <c r="AY48">
        <v>1</v>
      </c>
      <c r="AZ48">
        <v>0</v>
      </c>
      <c r="BA48">
        <v>48</v>
      </c>
      <c r="BB48">
        <v>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1784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1</v>
      </c>
      <c r="BQ48">
        <v>1784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1</v>
      </c>
      <c r="CX48">
        <f>Y48*Source!I32</f>
        <v>834.96</v>
      </c>
      <c r="CY48">
        <f t="shared" si="2"/>
        <v>2.23</v>
      </c>
      <c r="CZ48">
        <f t="shared" si="3"/>
        <v>2.23</v>
      </c>
      <c r="DA48">
        <f t="shared" si="4"/>
        <v>1</v>
      </c>
      <c r="DB48">
        <f t="shared" si="5"/>
        <v>1784</v>
      </c>
      <c r="DC48">
        <f t="shared" si="6"/>
        <v>0</v>
      </c>
    </row>
    <row r="49" spans="1:107" x14ac:dyDescent="0.2">
      <c r="A49">
        <f>ROW(Source!A33)</f>
        <v>33</v>
      </c>
      <c r="B49">
        <v>51866571</v>
      </c>
      <c r="C49">
        <v>51866955</v>
      </c>
      <c r="D49">
        <v>23134955</v>
      </c>
      <c r="E49">
        <v>1</v>
      </c>
      <c r="F49">
        <v>1</v>
      </c>
      <c r="G49">
        <v>1</v>
      </c>
      <c r="H49">
        <v>1</v>
      </c>
      <c r="I49" t="s">
        <v>1024</v>
      </c>
      <c r="K49" t="s">
        <v>1025</v>
      </c>
      <c r="L49">
        <v>1369</v>
      </c>
      <c r="N49">
        <v>1013</v>
      </c>
      <c r="O49" t="s">
        <v>71</v>
      </c>
      <c r="P49" t="s">
        <v>71</v>
      </c>
      <c r="Q49">
        <v>1</v>
      </c>
      <c r="W49">
        <v>0</v>
      </c>
      <c r="X49">
        <v>-1698459243</v>
      </c>
      <c r="Y49">
        <v>171.53399999999999</v>
      </c>
      <c r="AA49">
        <v>0</v>
      </c>
      <c r="AB49">
        <v>0</v>
      </c>
      <c r="AC49">
        <v>0</v>
      </c>
      <c r="AD49">
        <v>161.34</v>
      </c>
      <c r="AE49">
        <v>0</v>
      </c>
      <c r="AF49">
        <v>0</v>
      </c>
      <c r="AG49">
        <v>0</v>
      </c>
      <c r="AH49">
        <v>161.34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0</v>
      </c>
      <c r="AP49">
        <v>1</v>
      </c>
      <c r="AQ49">
        <v>1</v>
      </c>
      <c r="AR49">
        <v>0</v>
      </c>
      <c r="AT49">
        <v>149.16</v>
      </c>
      <c r="AU49" t="s">
        <v>821</v>
      </c>
      <c r="AV49">
        <v>1</v>
      </c>
      <c r="AW49">
        <v>2</v>
      </c>
      <c r="AX49">
        <v>51866968</v>
      </c>
      <c r="AY49">
        <v>1</v>
      </c>
      <c r="AZ49">
        <v>131072</v>
      </c>
      <c r="BA49">
        <v>50</v>
      </c>
      <c r="BB49">
        <v>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24065.474399999999</v>
      </c>
      <c r="BN49">
        <v>149.16</v>
      </c>
      <c r="BO49">
        <v>0</v>
      </c>
      <c r="BP49">
        <v>1</v>
      </c>
      <c r="BQ49">
        <v>0</v>
      </c>
      <c r="BR49">
        <v>0</v>
      </c>
      <c r="BS49">
        <v>0</v>
      </c>
      <c r="BT49">
        <v>27675.295559999999</v>
      </c>
      <c r="BU49">
        <v>171.53399999999999</v>
      </c>
      <c r="BV49">
        <v>0</v>
      </c>
      <c r="BW49">
        <v>1</v>
      </c>
      <c r="CX49">
        <f>Y49*Source!I33</f>
        <v>179.03003580000001</v>
      </c>
      <c r="CY49">
        <f>AD49</f>
        <v>161.34</v>
      </c>
      <c r="CZ49">
        <f>AH49</f>
        <v>161.34</v>
      </c>
      <c r="DA49">
        <f>AL49</f>
        <v>1</v>
      </c>
      <c r="DB49">
        <f>ROUND((ROUND(AT49*CZ49,2)*1.15),6)</f>
        <v>27675.290499999999</v>
      </c>
      <c r="DC49">
        <f>ROUND((ROUND(AT49*AG49,2)*1.15),6)</f>
        <v>0</v>
      </c>
    </row>
    <row r="50" spans="1:107" x14ac:dyDescent="0.2">
      <c r="A50">
        <f>ROW(Source!A33)</f>
        <v>33</v>
      </c>
      <c r="B50">
        <v>51866571</v>
      </c>
      <c r="C50">
        <v>51866955</v>
      </c>
      <c r="D50">
        <v>121548</v>
      </c>
      <c r="E50">
        <v>1</v>
      </c>
      <c r="F50">
        <v>1</v>
      </c>
      <c r="G50">
        <v>1</v>
      </c>
      <c r="H50">
        <v>1</v>
      </c>
      <c r="I50" t="s">
        <v>96</v>
      </c>
      <c r="K50" t="s">
        <v>1001</v>
      </c>
      <c r="L50">
        <v>608254</v>
      </c>
      <c r="N50">
        <v>1013</v>
      </c>
      <c r="O50" t="s">
        <v>1002</v>
      </c>
      <c r="P50" t="s">
        <v>1002</v>
      </c>
      <c r="Q50">
        <v>1</v>
      </c>
      <c r="W50">
        <v>0</v>
      </c>
      <c r="X50">
        <v>-185737400</v>
      </c>
      <c r="Y50">
        <v>0.82499999999999996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0</v>
      </c>
      <c r="AP50">
        <v>1</v>
      </c>
      <c r="AQ50">
        <v>1</v>
      </c>
      <c r="AR50">
        <v>0</v>
      </c>
      <c r="AT50">
        <v>0.66</v>
      </c>
      <c r="AU50" t="s">
        <v>820</v>
      </c>
      <c r="AV50">
        <v>2</v>
      </c>
      <c r="AW50">
        <v>2</v>
      </c>
      <c r="AX50">
        <v>51866969</v>
      </c>
      <c r="AY50">
        <v>1</v>
      </c>
      <c r="AZ50">
        <v>0</v>
      </c>
      <c r="BA50">
        <v>51</v>
      </c>
      <c r="BB50">
        <v>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0.66</v>
      </c>
      <c r="BP50">
        <v>1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0.82499999999999996</v>
      </c>
      <c r="BW50">
        <v>1</v>
      </c>
      <c r="CX50">
        <f>Y50*Source!I33</f>
        <v>0.8610525</v>
      </c>
      <c r="CY50">
        <f>AD50</f>
        <v>0</v>
      </c>
      <c r="CZ50">
        <f>AH50</f>
        <v>0</v>
      </c>
      <c r="DA50">
        <f>AL50</f>
        <v>1</v>
      </c>
      <c r="DB50">
        <f>ROUND((ROUND(AT50*CZ50,2)*1.25),6)</f>
        <v>0</v>
      </c>
      <c r="DC50">
        <f>ROUND((ROUND(AT50*AG50,2)*1.25),6)</f>
        <v>0</v>
      </c>
    </row>
    <row r="51" spans="1:107" x14ac:dyDescent="0.2">
      <c r="A51">
        <f>ROW(Source!A33)</f>
        <v>33</v>
      </c>
      <c r="B51">
        <v>51866571</v>
      </c>
      <c r="C51">
        <v>51866955</v>
      </c>
      <c r="D51">
        <v>39127752</v>
      </c>
      <c r="E51">
        <v>1</v>
      </c>
      <c r="F51">
        <v>1</v>
      </c>
      <c r="G51">
        <v>1</v>
      </c>
      <c r="H51">
        <v>2</v>
      </c>
      <c r="I51" t="s">
        <v>1003</v>
      </c>
      <c r="J51" t="s">
        <v>1004</v>
      </c>
      <c r="K51" t="s">
        <v>1005</v>
      </c>
      <c r="L51">
        <v>1368</v>
      </c>
      <c r="N51">
        <v>1011</v>
      </c>
      <c r="O51" t="s">
        <v>1006</v>
      </c>
      <c r="P51" t="s">
        <v>1006</v>
      </c>
      <c r="Q51">
        <v>1</v>
      </c>
      <c r="W51">
        <v>0</v>
      </c>
      <c r="X51">
        <v>1753337916</v>
      </c>
      <c r="Y51">
        <v>0.82499999999999996</v>
      </c>
      <c r="AA51">
        <v>0</v>
      </c>
      <c r="AB51">
        <v>308.94</v>
      </c>
      <c r="AC51">
        <v>239.1</v>
      </c>
      <c r="AD51">
        <v>0</v>
      </c>
      <c r="AE51">
        <v>0</v>
      </c>
      <c r="AF51">
        <v>308.94</v>
      </c>
      <c r="AG51">
        <v>239.1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0</v>
      </c>
      <c r="AP51">
        <v>1</v>
      </c>
      <c r="AQ51">
        <v>1</v>
      </c>
      <c r="AR51">
        <v>0</v>
      </c>
      <c r="AT51">
        <v>0.66</v>
      </c>
      <c r="AU51" t="s">
        <v>820</v>
      </c>
      <c r="AV51">
        <v>0</v>
      </c>
      <c r="AW51">
        <v>2</v>
      </c>
      <c r="AX51">
        <v>51866970</v>
      </c>
      <c r="AY51">
        <v>1</v>
      </c>
      <c r="AZ51">
        <v>0</v>
      </c>
      <c r="BA51">
        <v>52</v>
      </c>
      <c r="BB51">
        <v>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203.90039999999999</v>
      </c>
      <c r="BL51">
        <v>157.80600000000001</v>
      </c>
      <c r="BM51">
        <v>0</v>
      </c>
      <c r="BN51">
        <v>0</v>
      </c>
      <c r="BO51">
        <v>0</v>
      </c>
      <c r="BP51">
        <v>1</v>
      </c>
      <c r="BQ51">
        <v>0</v>
      </c>
      <c r="BR51">
        <v>254.87549999999999</v>
      </c>
      <c r="BS51">
        <v>197.25749999999999</v>
      </c>
      <c r="BT51">
        <v>0</v>
      </c>
      <c r="BU51">
        <v>0</v>
      </c>
      <c r="BV51">
        <v>0</v>
      </c>
      <c r="BW51">
        <v>1</v>
      </c>
      <c r="CX51">
        <f>Y51*Source!I33</f>
        <v>0.8610525</v>
      </c>
      <c r="CY51">
        <f>AB51</f>
        <v>308.94</v>
      </c>
      <c r="CZ51">
        <f>AF51</f>
        <v>308.94</v>
      </c>
      <c r="DA51">
        <f>AJ51</f>
        <v>1</v>
      </c>
      <c r="DB51">
        <f>ROUND((ROUND(AT51*CZ51,2)*1.25),6)</f>
        <v>254.875</v>
      </c>
      <c r="DC51">
        <f>ROUND((ROUND(AT51*AG51,2)*1.25),6)</f>
        <v>197.26249999999999</v>
      </c>
    </row>
    <row r="52" spans="1:107" x14ac:dyDescent="0.2">
      <c r="A52">
        <f>ROW(Source!A33)</f>
        <v>33</v>
      </c>
      <c r="B52">
        <v>51866571</v>
      </c>
      <c r="C52">
        <v>51866955</v>
      </c>
      <c r="D52">
        <v>39128477</v>
      </c>
      <c r="E52">
        <v>1</v>
      </c>
      <c r="F52">
        <v>1</v>
      </c>
      <c r="G52">
        <v>1</v>
      </c>
      <c r="H52">
        <v>2</v>
      </c>
      <c r="I52" t="s">
        <v>1026</v>
      </c>
      <c r="J52" t="s">
        <v>1027</v>
      </c>
      <c r="K52" t="s">
        <v>1028</v>
      </c>
      <c r="L52">
        <v>1368</v>
      </c>
      <c r="N52">
        <v>1011</v>
      </c>
      <c r="O52" t="s">
        <v>1006</v>
      </c>
      <c r="P52" t="s">
        <v>1006</v>
      </c>
      <c r="Q52">
        <v>1</v>
      </c>
      <c r="W52">
        <v>0</v>
      </c>
      <c r="X52">
        <v>325281995</v>
      </c>
      <c r="Y52">
        <v>16.512499999999999</v>
      </c>
      <c r="AA52">
        <v>0</v>
      </c>
      <c r="AB52">
        <v>11.42</v>
      </c>
      <c r="AC52">
        <v>0</v>
      </c>
      <c r="AD52">
        <v>0</v>
      </c>
      <c r="AE52">
        <v>0</v>
      </c>
      <c r="AF52">
        <v>11.42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0</v>
      </c>
      <c r="AP52">
        <v>1</v>
      </c>
      <c r="AQ52">
        <v>1</v>
      </c>
      <c r="AR52">
        <v>0</v>
      </c>
      <c r="AT52">
        <v>13.21</v>
      </c>
      <c r="AU52" t="s">
        <v>820</v>
      </c>
      <c r="AV52">
        <v>0</v>
      </c>
      <c r="AW52">
        <v>2</v>
      </c>
      <c r="AX52">
        <v>51866971</v>
      </c>
      <c r="AY52">
        <v>1</v>
      </c>
      <c r="AZ52">
        <v>0</v>
      </c>
      <c r="BA52">
        <v>53</v>
      </c>
      <c r="BB52">
        <v>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150.85820000000001</v>
      </c>
      <c r="BL52">
        <v>0</v>
      </c>
      <c r="BM52">
        <v>0</v>
      </c>
      <c r="BN52">
        <v>0</v>
      </c>
      <c r="BO52">
        <v>0</v>
      </c>
      <c r="BP52">
        <v>1</v>
      </c>
      <c r="BQ52">
        <v>0</v>
      </c>
      <c r="BR52">
        <v>188.57275000000001</v>
      </c>
      <c r="BS52">
        <v>0</v>
      </c>
      <c r="BT52">
        <v>0</v>
      </c>
      <c r="BU52">
        <v>0</v>
      </c>
      <c r="BV52">
        <v>0</v>
      </c>
      <c r="BW52">
        <v>1</v>
      </c>
      <c r="CX52">
        <f>Y52*Source!I33</f>
        <v>17.23409625</v>
      </c>
      <c r="CY52">
        <f>AB52</f>
        <v>11.42</v>
      </c>
      <c r="CZ52">
        <f>AF52</f>
        <v>11.42</v>
      </c>
      <c r="DA52">
        <f>AJ52</f>
        <v>1</v>
      </c>
      <c r="DB52">
        <f>ROUND((ROUND(AT52*CZ52,2)*1.25),6)</f>
        <v>188.57499999999999</v>
      </c>
      <c r="DC52">
        <f>ROUND((ROUND(AT52*AG52,2)*1.25),6)</f>
        <v>0</v>
      </c>
    </row>
    <row r="53" spans="1:107" x14ac:dyDescent="0.2">
      <c r="A53">
        <f>ROW(Source!A33)</f>
        <v>33</v>
      </c>
      <c r="B53">
        <v>51866571</v>
      </c>
      <c r="C53">
        <v>51866955</v>
      </c>
      <c r="D53">
        <v>39129310</v>
      </c>
      <c r="E53">
        <v>1</v>
      </c>
      <c r="F53">
        <v>1</v>
      </c>
      <c r="G53">
        <v>1</v>
      </c>
      <c r="H53">
        <v>2</v>
      </c>
      <c r="I53" t="s">
        <v>1029</v>
      </c>
      <c r="J53" t="s">
        <v>1030</v>
      </c>
      <c r="K53" t="s">
        <v>1031</v>
      </c>
      <c r="L53">
        <v>1368</v>
      </c>
      <c r="N53">
        <v>1011</v>
      </c>
      <c r="O53" t="s">
        <v>1006</v>
      </c>
      <c r="P53" t="s">
        <v>1006</v>
      </c>
      <c r="Q53">
        <v>1</v>
      </c>
      <c r="W53">
        <v>0</v>
      </c>
      <c r="X53">
        <v>1067600123</v>
      </c>
      <c r="Y53">
        <v>25.4375</v>
      </c>
      <c r="AA53">
        <v>0</v>
      </c>
      <c r="AB53">
        <v>7.67</v>
      </c>
      <c r="AC53">
        <v>0</v>
      </c>
      <c r="AD53">
        <v>0</v>
      </c>
      <c r="AE53">
        <v>0</v>
      </c>
      <c r="AF53">
        <v>7.67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0</v>
      </c>
      <c r="AP53">
        <v>1</v>
      </c>
      <c r="AQ53">
        <v>1</v>
      </c>
      <c r="AR53">
        <v>0</v>
      </c>
      <c r="AT53">
        <v>20.350000000000001</v>
      </c>
      <c r="AU53" t="s">
        <v>820</v>
      </c>
      <c r="AV53">
        <v>0</v>
      </c>
      <c r="AW53">
        <v>2</v>
      </c>
      <c r="AX53">
        <v>51866972</v>
      </c>
      <c r="AY53">
        <v>1</v>
      </c>
      <c r="AZ53">
        <v>0</v>
      </c>
      <c r="BA53">
        <v>54</v>
      </c>
      <c r="BB53">
        <v>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156.08449999999999</v>
      </c>
      <c r="BL53">
        <v>0</v>
      </c>
      <c r="BM53">
        <v>0</v>
      </c>
      <c r="BN53">
        <v>0</v>
      </c>
      <c r="BO53">
        <v>0</v>
      </c>
      <c r="BP53">
        <v>1</v>
      </c>
      <c r="BQ53">
        <v>0</v>
      </c>
      <c r="BR53">
        <v>195.105625</v>
      </c>
      <c r="BS53">
        <v>0</v>
      </c>
      <c r="BT53">
        <v>0</v>
      </c>
      <c r="BU53">
        <v>0</v>
      </c>
      <c r="BV53">
        <v>0</v>
      </c>
      <c r="BW53">
        <v>1</v>
      </c>
      <c r="CX53">
        <f>Y53*Source!I33</f>
        <v>26.549118750000002</v>
      </c>
      <c r="CY53">
        <f>AB53</f>
        <v>7.67</v>
      </c>
      <c r="CZ53">
        <f>AF53</f>
        <v>7.67</v>
      </c>
      <c r="DA53">
        <f>AJ53</f>
        <v>1</v>
      </c>
      <c r="DB53">
        <f>ROUND((ROUND(AT53*CZ53,2)*1.25),6)</f>
        <v>195.1</v>
      </c>
      <c r="DC53">
        <f>ROUND((ROUND(AT53*AG53,2)*1.25),6)</f>
        <v>0</v>
      </c>
    </row>
    <row r="54" spans="1:107" x14ac:dyDescent="0.2">
      <c r="A54">
        <f>ROW(Source!A33)</f>
        <v>33</v>
      </c>
      <c r="B54">
        <v>51866571</v>
      </c>
      <c r="C54">
        <v>51866955</v>
      </c>
      <c r="D54">
        <v>39129630</v>
      </c>
      <c r="E54">
        <v>1</v>
      </c>
      <c r="F54">
        <v>1</v>
      </c>
      <c r="G54">
        <v>1</v>
      </c>
      <c r="H54">
        <v>2</v>
      </c>
      <c r="I54" t="s">
        <v>1032</v>
      </c>
      <c r="J54" t="s">
        <v>1033</v>
      </c>
      <c r="K54" t="s">
        <v>1034</v>
      </c>
      <c r="L54">
        <v>1368</v>
      </c>
      <c r="N54">
        <v>1011</v>
      </c>
      <c r="O54" t="s">
        <v>1006</v>
      </c>
      <c r="P54" t="s">
        <v>1006</v>
      </c>
      <c r="Q54">
        <v>1</v>
      </c>
      <c r="W54">
        <v>0</v>
      </c>
      <c r="X54">
        <v>-671646184</v>
      </c>
      <c r="Y54">
        <v>4.4625000000000004</v>
      </c>
      <c r="AA54">
        <v>0</v>
      </c>
      <c r="AB54">
        <v>772.82</v>
      </c>
      <c r="AC54">
        <v>0</v>
      </c>
      <c r="AD54">
        <v>0</v>
      </c>
      <c r="AE54">
        <v>0</v>
      </c>
      <c r="AF54">
        <v>772.82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0</v>
      </c>
      <c r="AP54">
        <v>1</v>
      </c>
      <c r="AQ54">
        <v>1</v>
      </c>
      <c r="AR54">
        <v>0</v>
      </c>
      <c r="AT54">
        <v>3.57</v>
      </c>
      <c r="AU54" t="s">
        <v>820</v>
      </c>
      <c r="AV54">
        <v>0</v>
      </c>
      <c r="AW54">
        <v>2</v>
      </c>
      <c r="AX54">
        <v>51866973</v>
      </c>
      <c r="AY54">
        <v>2</v>
      </c>
      <c r="AZ54">
        <v>98304</v>
      </c>
      <c r="BA54">
        <v>55</v>
      </c>
      <c r="BB54">
        <v>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2758.9674</v>
      </c>
      <c r="BL54">
        <v>0</v>
      </c>
      <c r="BM54">
        <v>0</v>
      </c>
      <c r="BN54">
        <v>0</v>
      </c>
      <c r="BO54">
        <v>0</v>
      </c>
      <c r="BP54">
        <v>1</v>
      </c>
      <c r="BQ54">
        <v>0</v>
      </c>
      <c r="BR54">
        <v>3448.7092499999999</v>
      </c>
      <c r="BS54">
        <v>0</v>
      </c>
      <c r="BT54">
        <v>0</v>
      </c>
      <c r="BU54">
        <v>0</v>
      </c>
      <c r="BV54">
        <v>0</v>
      </c>
      <c r="BW54">
        <v>1</v>
      </c>
      <c r="CX54">
        <f>Y54*Source!I33</f>
        <v>4.6575112500000007</v>
      </c>
      <c r="CY54">
        <f>AB54</f>
        <v>772.82</v>
      </c>
      <c r="CZ54">
        <f>AF54</f>
        <v>772.82</v>
      </c>
      <c r="DA54">
        <f>AJ54</f>
        <v>1</v>
      </c>
      <c r="DB54">
        <f>ROUND((ROUND(AT54*CZ54,2)*1.25),6)</f>
        <v>3448.7125000000001</v>
      </c>
      <c r="DC54">
        <f>ROUND((ROUND(AT54*AG54,2)*1.25),6)</f>
        <v>0</v>
      </c>
    </row>
    <row r="55" spans="1:107" x14ac:dyDescent="0.2">
      <c r="A55">
        <f>ROW(Source!A33)</f>
        <v>33</v>
      </c>
      <c r="B55">
        <v>51866571</v>
      </c>
      <c r="C55">
        <v>51866955</v>
      </c>
      <c r="D55">
        <v>39058207</v>
      </c>
      <c r="E55">
        <v>1</v>
      </c>
      <c r="F55">
        <v>1</v>
      </c>
      <c r="G55">
        <v>1</v>
      </c>
      <c r="H55">
        <v>3</v>
      </c>
      <c r="I55" t="s">
        <v>1035</v>
      </c>
      <c r="J55" t="s">
        <v>1036</v>
      </c>
      <c r="K55" t="s">
        <v>1037</v>
      </c>
      <c r="L55">
        <v>1301</v>
      </c>
      <c r="N55">
        <v>1003</v>
      </c>
      <c r="O55" t="s">
        <v>171</v>
      </c>
      <c r="P55" t="s">
        <v>171</v>
      </c>
      <c r="Q55">
        <v>1</v>
      </c>
      <c r="W55">
        <v>0</v>
      </c>
      <c r="X55">
        <v>519678588</v>
      </c>
      <c r="Y55">
        <v>253</v>
      </c>
      <c r="AA55">
        <v>16.82</v>
      </c>
      <c r="AB55">
        <v>0</v>
      </c>
      <c r="AC55">
        <v>0</v>
      </c>
      <c r="AD55">
        <v>0</v>
      </c>
      <c r="AE55">
        <v>16.82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0</v>
      </c>
      <c r="AP55">
        <v>0</v>
      </c>
      <c r="AQ55">
        <v>1</v>
      </c>
      <c r="AR55">
        <v>0</v>
      </c>
      <c r="AT55">
        <v>253</v>
      </c>
      <c r="AV55">
        <v>0</v>
      </c>
      <c r="AW55">
        <v>2</v>
      </c>
      <c r="AX55">
        <v>51866974</v>
      </c>
      <c r="AY55">
        <v>1</v>
      </c>
      <c r="AZ55">
        <v>0</v>
      </c>
      <c r="BA55">
        <v>56</v>
      </c>
      <c r="BB55">
        <v>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4255.46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1</v>
      </c>
      <c r="BQ55">
        <v>4255.46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1</v>
      </c>
      <c r="CX55">
        <f>Y55*Source!I33</f>
        <v>264.05610000000001</v>
      </c>
      <c r="CY55">
        <f t="shared" ref="CY55:CY60" si="7">AA55</f>
        <v>16.82</v>
      </c>
      <c r="CZ55">
        <f t="shared" ref="CZ55:CZ60" si="8">AE55</f>
        <v>16.82</v>
      </c>
      <c r="DA55">
        <f t="shared" ref="DA55:DA60" si="9">AI55</f>
        <v>1</v>
      </c>
      <c r="DB55">
        <f t="shared" ref="DB55:DB60" si="10">ROUND(ROUND(AT55*CZ55,2),6)</f>
        <v>4255.46</v>
      </c>
      <c r="DC55">
        <f t="shared" ref="DC55:DC60" si="11">ROUND(ROUND(AT55*AG55,2),6)</f>
        <v>0</v>
      </c>
    </row>
    <row r="56" spans="1:107" x14ac:dyDescent="0.2">
      <c r="A56">
        <f>ROW(Source!A33)</f>
        <v>33</v>
      </c>
      <c r="B56">
        <v>51866571</v>
      </c>
      <c r="C56">
        <v>51866955</v>
      </c>
      <c r="D56">
        <v>39058208</v>
      </c>
      <c r="E56">
        <v>1</v>
      </c>
      <c r="F56">
        <v>1</v>
      </c>
      <c r="G56">
        <v>1</v>
      </c>
      <c r="H56">
        <v>3</v>
      </c>
      <c r="I56" t="s">
        <v>1038</v>
      </c>
      <c r="J56" t="s">
        <v>1039</v>
      </c>
      <c r="K56" t="s">
        <v>1040</v>
      </c>
      <c r="L56">
        <v>1301</v>
      </c>
      <c r="N56">
        <v>1003</v>
      </c>
      <c r="O56" t="s">
        <v>171</v>
      </c>
      <c r="P56" t="s">
        <v>171</v>
      </c>
      <c r="Q56">
        <v>1</v>
      </c>
      <c r="W56">
        <v>0</v>
      </c>
      <c r="X56">
        <v>1525629332</v>
      </c>
      <c r="Y56">
        <v>59</v>
      </c>
      <c r="AA56">
        <v>23.87</v>
      </c>
      <c r="AB56">
        <v>0</v>
      </c>
      <c r="AC56">
        <v>0</v>
      </c>
      <c r="AD56">
        <v>0</v>
      </c>
      <c r="AE56">
        <v>23.87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0</v>
      </c>
      <c r="AP56">
        <v>0</v>
      </c>
      <c r="AQ56">
        <v>1</v>
      </c>
      <c r="AR56">
        <v>0</v>
      </c>
      <c r="AT56">
        <v>59</v>
      </c>
      <c r="AV56">
        <v>0</v>
      </c>
      <c r="AW56">
        <v>2</v>
      </c>
      <c r="AX56">
        <v>51866975</v>
      </c>
      <c r="AY56">
        <v>1</v>
      </c>
      <c r="AZ56">
        <v>0</v>
      </c>
      <c r="BA56">
        <v>57</v>
      </c>
      <c r="BB56">
        <v>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1408.33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1</v>
      </c>
      <c r="BQ56">
        <v>1408.33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1</v>
      </c>
      <c r="CX56">
        <f>Y56*Source!I33</f>
        <v>61.578300000000006</v>
      </c>
      <c r="CY56">
        <f t="shared" si="7"/>
        <v>23.87</v>
      </c>
      <c r="CZ56">
        <f t="shared" si="8"/>
        <v>23.87</v>
      </c>
      <c r="DA56">
        <f t="shared" si="9"/>
        <v>1</v>
      </c>
      <c r="DB56">
        <f t="shared" si="10"/>
        <v>1408.33</v>
      </c>
      <c r="DC56">
        <f t="shared" si="11"/>
        <v>0</v>
      </c>
    </row>
    <row r="57" spans="1:107" x14ac:dyDescent="0.2">
      <c r="A57">
        <f>ROW(Source!A33)</f>
        <v>33</v>
      </c>
      <c r="B57">
        <v>51866571</v>
      </c>
      <c r="C57">
        <v>51866955</v>
      </c>
      <c r="D57">
        <v>39055947</v>
      </c>
      <c r="E57">
        <v>1</v>
      </c>
      <c r="F57">
        <v>1</v>
      </c>
      <c r="G57">
        <v>1</v>
      </c>
      <c r="H57">
        <v>3</v>
      </c>
      <c r="I57" t="s">
        <v>1041</v>
      </c>
      <c r="J57" t="s">
        <v>1042</v>
      </c>
      <c r="K57" t="s">
        <v>1043</v>
      </c>
      <c r="L57">
        <v>1354</v>
      </c>
      <c r="N57">
        <v>1010</v>
      </c>
      <c r="O57" t="s">
        <v>527</v>
      </c>
      <c r="P57" t="s">
        <v>527</v>
      </c>
      <c r="Q57">
        <v>1</v>
      </c>
      <c r="W57">
        <v>0</v>
      </c>
      <c r="X57">
        <v>697798727</v>
      </c>
      <c r="Y57">
        <v>71</v>
      </c>
      <c r="AA57">
        <v>223.92</v>
      </c>
      <c r="AB57">
        <v>0</v>
      </c>
      <c r="AC57">
        <v>0</v>
      </c>
      <c r="AD57">
        <v>0</v>
      </c>
      <c r="AE57">
        <v>223.92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0</v>
      </c>
      <c r="AP57">
        <v>0</v>
      </c>
      <c r="AQ57">
        <v>1</v>
      </c>
      <c r="AR57">
        <v>0</v>
      </c>
      <c r="AT57">
        <v>71</v>
      </c>
      <c r="AV57">
        <v>0</v>
      </c>
      <c r="AW57">
        <v>2</v>
      </c>
      <c r="AX57">
        <v>51866976</v>
      </c>
      <c r="AY57">
        <v>1</v>
      </c>
      <c r="AZ57">
        <v>0</v>
      </c>
      <c r="BA57">
        <v>58</v>
      </c>
      <c r="BB57">
        <v>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15898.32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1</v>
      </c>
      <c r="BQ57">
        <v>15898.32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1</v>
      </c>
      <c r="CX57">
        <f>Y57*Source!I33</f>
        <v>74.102699999999999</v>
      </c>
      <c r="CY57">
        <f t="shared" si="7"/>
        <v>223.92</v>
      </c>
      <c r="CZ57">
        <f t="shared" si="8"/>
        <v>223.92</v>
      </c>
      <c r="DA57">
        <f t="shared" si="9"/>
        <v>1</v>
      </c>
      <c r="DB57">
        <f t="shared" si="10"/>
        <v>15898.32</v>
      </c>
      <c r="DC57">
        <f t="shared" si="11"/>
        <v>0</v>
      </c>
    </row>
    <row r="58" spans="1:107" x14ac:dyDescent="0.2">
      <c r="A58">
        <f>ROW(Source!A33)</f>
        <v>33</v>
      </c>
      <c r="B58">
        <v>51866571</v>
      </c>
      <c r="C58">
        <v>51866955</v>
      </c>
      <c r="D58">
        <v>39058210</v>
      </c>
      <c r="E58">
        <v>1</v>
      </c>
      <c r="F58">
        <v>1</v>
      </c>
      <c r="G58">
        <v>1</v>
      </c>
      <c r="H58">
        <v>3</v>
      </c>
      <c r="I58" t="s">
        <v>1044</v>
      </c>
      <c r="J58" t="s">
        <v>1045</v>
      </c>
      <c r="K58" t="s">
        <v>1046</v>
      </c>
      <c r="L58">
        <v>1301</v>
      </c>
      <c r="N58">
        <v>1003</v>
      </c>
      <c r="O58" t="s">
        <v>171</v>
      </c>
      <c r="P58" t="s">
        <v>171</v>
      </c>
      <c r="Q58">
        <v>1</v>
      </c>
      <c r="W58">
        <v>0</v>
      </c>
      <c r="X58">
        <v>1303373379</v>
      </c>
      <c r="Y58">
        <v>159</v>
      </c>
      <c r="AA58">
        <v>18.829999999999998</v>
      </c>
      <c r="AB58">
        <v>0</v>
      </c>
      <c r="AC58">
        <v>0</v>
      </c>
      <c r="AD58">
        <v>0</v>
      </c>
      <c r="AE58">
        <v>18.829999999999998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0</v>
      </c>
      <c r="AP58">
        <v>0</v>
      </c>
      <c r="AQ58">
        <v>1</v>
      </c>
      <c r="AR58">
        <v>0</v>
      </c>
      <c r="AT58">
        <v>159</v>
      </c>
      <c r="AV58">
        <v>0</v>
      </c>
      <c r="AW58">
        <v>2</v>
      </c>
      <c r="AX58">
        <v>51866977</v>
      </c>
      <c r="AY58">
        <v>1</v>
      </c>
      <c r="AZ58">
        <v>0</v>
      </c>
      <c r="BA58">
        <v>59</v>
      </c>
      <c r="BB58">
        <v>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2993.97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1</v>
      </c>
      <c r="BQ58">
        <v>2993.97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1</v>
      </c>
      <c r="CX58">
        <f>Y58*Source!I33</f>
        <v>165.94830000000002</v>
      </c>
      <c r="CY58">
        <f t="shared" si="7"/>
        <v>18.829999999999998</v>
      </c>
      <c r="CZ58">
        <f t="shared" si="8"/>
        <v>18.829999999999998</v>
      </c>
      <c r="DA58">
        <f t="shared" si="9"/>
        <v>1</v>
      </c>
      <c r="DB58">
        <f t="shared" si="10"/>
        <v>2993.97</v>
      </c>
      <c r="DC58">
        <f t="shared" si="11"/>
        <v>0</v>
      </c>
    </row>
    <row r="59" spans="1:107" x14ac:dyDescent="0.2">
      <c r="A59">
        <f>ROW(Source!A33)</f>
        <v>33</v>
      </c>
      <c r="B59">
        <v>51866571</v>
      </c>
      <c r="C59">
        <v>51866955</v>
      </c>
      <c r="D59">
        <v>39062196</v>
      </c>
      <c r="E59">
        <v>1</v>
      </c>
      <c r="F59">
        <v>1</v>
      </c>
      <c r="G59">
        <v>1</v>
      </c>
      <c r="H59">
        <v>3</v>
      </c>
      <c r="I59" t="s">
        <v>1047</v>
      </c>
      <c r="J59" t="s">
        <v>1048</v>
      </c>
      <c r="K59" t="s">
        <v>1049</v>
      </c>
      <c r="L59">
        <v>1358</v>
      </c>
      <c r="N59">
        <v>1010</v>
      </c>
      <c r="O59" t="s">
        <v>1050</v>
      </c>
      <c r="P59" t="s">
        <v>1050</v>
      </c>
      <c r="Q59">
        <v>10</v>
      </c>
      <c r="W59">
        <v>0</v>
      </c>
      <c r="X59">
        <v>-17540141</v>
      </c>
      <c r="Y59">
        <v>41.2</v>
      </c>
      <c r="AA59">
        <v>17.440000000000001</v>
      </c>
      <c r="AB59">
        <v>0</v>
      </c>
      <c r="AC59">
        <v>0</v>
      </c>
      <c r="AD59">
        <v>0</v>
      </c>
      <c r="AE59">
        <v>17.440000000000001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0</v>
      </c>
      <c r="AP59">
        <v>0</v>
      </c>
      <c r="AQ59">
        <v>1</v>
      </c>
      <c r="AR59">
        <v>0</v>
      </c>
      <c r="AT59">
        <v>41.2</v>
      </c>
      <c r="AV59">
        <v>0</v>
      </c>
      <c r="AW59">
        <v>2</v>
      </c>
      <c r="AX59">
        <v>51866978</v>
      </c>
      <c r="AY59">
        <v>1</v>
      </c>
      <c r="AZ59">
        <v>0</v>
      </c>
      <c r="BA59">
        <v>60</v>
      </c>
      <c r="BB59">
        <v>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718.52800000000002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1</v>
      </c>
      <c r="BQ59">
        <v>718.52800000000002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1</v>
      </c>
      <c r="CX59">
        <f>Y59*Source!I33</f>
        <v>43.000440000000005</v>
      </c>
      <c r="CY59">
        <f t="shared" si="7"/>
        <v>17.440000000000001</v>
      </c>
      <c r="CZ59">
        <f t="shared" si="8"/>
        <v>17.440000000000001</v>
      </c>
      <c r="DA59">
        <f t="shared" si="9"/>
        <v>1</v>
      </c>
      <c r="DB59">
        <f t="shared" si="10"/>
        <v>718.53</v>
      </c>
      <c r="DC59">
        <f t="shared" si="11"/>
        <v>0</v>
      </c>
    </row>
    <row r="60" spans="1:107" x14ac:dyDescent="0.2">
      <c r="A60">
        <f>ROW(Source!A33)</f>
        <v>33</v>
      </c>
      <c r="B60">
        <v>51866571</v>
      </c>
      <c r="C60">
        <v>51866955</v>
      </c>
      <c r="D60">
        <v>39062985</v>
      </c>
      <c r="E60">
        <v>1</v>
      </c>
      <c r="F60">
        <v>1</v>
      </c>
      <c r="G60">
        <v>1</v>
      </c>
      <c r="H60">
        <v>3</v>
      </c>
      <c r="I60" t="s">
        <v>1051</v>
      </c>
      <c r="J60" t="s">
        <v>1052</v>
      </c>
      <c r="K60" t="s">
        <v>1053</v>
      </c>
      <c r="L60">
        <v>1354</v>
      </c>
      <c r="N60">
        <v>1010</v>
      </c>
      <c r="O60" t="s">
        <v>527</v>
      </c>
      <c r="P60" t="s">
        <v>527</v>
      </c>
      <c r="Q60">
        <v>1</v>
      </c>
      <c r="W60">
        <v>0</v>
      </c>
      <c r="X60">
        <v>565283389</v>
      </c>
      <c r="Y60">
        <v>800</v>
      </c>
      <c r="AA60">
        <v>2.23</v>
      </c>
      <c r="AB60">
        <v>0</v>
      </c>
      <c r="AC60">
        <v>0</v>
      </c>
      <c r="AD60">
        <v>0</v>
      </c>
      <c r="AE60">
        <v>2.23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0</v>
      </c>
      <c r="AP60">
        <v>0</v>
      </c>
      <c r="AQ60">
        <v>1</v>
      </c>
      <c r="AR60">
        <v>0</v>
      </c>
      <c r="AT60">
        <v>800</v>
      </c>
      <c r="AV60">
        <v>0</v>
      </c>
      <c r="AW60">
        <v>2</v>
      </c>
      <c r="AX60">
        <v>51866979</v>
      </c>
      <c r="AY60">
        <v>1</v>
      </c>
      <c r="AZ60">
        <v>0</v>
      </c>
      <c r="BA60">
        <v>61</v>
      </c>
      <c r="BB60">
        <v>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1784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1</v>
      </c>
      <c r="BQ60">
        <v>1784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</v>
      </c>
      <c r="CX60">
        <f>Y60*Source!I33</f>
        <v>834.96</v>
      </c>
      <c r="CY60">
        <f t="shared" si="7"/>
        <v>2.23</v>
      </c>
      <c r="CZ60">
        <f t="shared" si="8"/>
        <v>2.23</v>
      </c>
      <c r="DA60">
        <f t="shared" si="9"/>
        <v>1</v>
      </c>
      <c r="DB60">
        <f t="shared" si="10"/>
        <v>1784</v>
      </c>
      <c r="DC60">
        <f t="shared" si="11"/>
        <v>0</v>
      </c>
    </row>
    <row r="61" spans="1:107" x14ac:dyDescent="0.2">
      <c r="A61">
        <f>ROW(Source!A40)</f>
        <v>40</v>
      </c>
      <c r="B61">
        <v>51866573</v>
      </c>
      <c r="C61">
        <v>51867065</v>
      </c>
      <c r="D61">
        <v>23134955</v>
      </c>
      <c r="E61">
        <v>1</v>
      </c>
      <c r="F61">
        <v>1</v>
      </c>
      <c r="G61">
        <v>1</v>
      </c>
      <c r="H61">
        <v>1</v>
      </c>
      <c r="I61" t="s">
        <v>1024</v>
      </c>
      <c r="K61" t="s">
        <v>1025</v>
      </c>
      <c r="L61">
        <v>1369</v>
      </c>
      <c r="N61">
        <v>1013</v>
      </c>
      <c r="O61" t="s">
        <v>71</v>
      </c>
      <c r="P61" t="s">
        <v>71</v>
      </c>
      <c r="Q61">
        <v>1</v>
      </c>
      <c r="W61">
        <v>0</v>
      </c>
      <c r="X61">
        <v>-1698459243</v>
      </c>
      <c r="Y61">
        <v>51.174999999999997</v>
      </c>
      <c r="AA61">
        <v>0</v>
      </c>
      <c r="AB61">
        <v>0</v>
      </c>
      <c r="AC61">
        <v>0</v>
      </c>
      <c r="AD61">
        <v>8.17</v>
      </c>
      <c r="AE61">
        <v>0</v>
      </c>
      <c r="AF61">
        <v>0</v>
      </c>
      <c r="AG61">
        <v>0</v>
      </c>
      <c r="AH61">
        <v>8.17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0</v>
      </c>
      <c r="AP61">
        <v>1</v>
      </c>
      <c r="AQ61">
        <v>1</v>
      </c>
      <c r="AR61">
        <v>0</v>
      </c>
      <c r="AT61">
        <v>44.5</v>
      </c>
      <c r="AU61" t="s">
        <v>821</v>
      </c>
      <c r="AV61">
        <v>1</v>
      </c>
      <c r="AW61">
        <v>2</v>
      </c>
      <c r="AX61">
        <v>51867069</v>
      </c>
      <c r="AY61">
        <v>1</v>
      </c>
      <c r="AZ61">
        <v>0</v>
      </c>
      <c r="BA61">
        <v>63</v>
      </c>
      <c r="BB61">
        <v>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363.565</v>
      </c>
      <c r="BN61">
        <v>44.5</v>
      </c>
      <c r="BO61">
        <v>0</v>
      </c>
      <c r="BP61">
        <v>1</v>
      </c>
      <c r="BQ61">
        <v>0</v>
      </c>
      <c r="BR61">
        <v>0</v>
      </c>
      <c r="BS61">
        <v>0</v>
      </c>
      <c r="BT61">
        <v>418.09974999999997</v>
      </c>
      <c r="BU61">
        <v>51.174999999999997</v>
      </c>
      <c r="BV61">
        <v>0</v>
      </c>
      <c r="BW61">
        <v>1</v>
      </c>
      <c r="CX61">
        <f>Y61*Source!I40</f>
        <v>13.81725</v>
      </c>
      <c r="CY61">
        <f>AD61</f>
        <v>8.17</v>
      </c>
      <c r="CZ61">
        <f>AH61</f>
        <v>8.17</v>
      </c>
      <c r="DA61">
        <f>AL61</f>
        <v>1</v>
      </c>
      <c r="DB61">
        <f>ROUND((ROUND(AT61*CZ61,2)*1.15),6)</f>
        <v>418.10550000000001</v>
      </c>
      <c r="DC61">
        <f>ROUND((ROUND(AT61*AG61,2)*1.15),6)</f>
        <v>0</v>
      </c>
    </row>
    <row r="62" spans="1:107" x14ac:dyDescent="0.2">
      <c r="A62">
        <f>ROW(Source!A40)</f>
        <v>40</v>
      </c>
      <c r="B62">
        <v>51866573</v>
      </c>
      <c r="C62">
        <v>51867065</v>
      </c>
      <c r="D62">
        <v>39128477</v>
      </c>
      <c r="E62">
        <v>1</v>
      </c>
      <c r="F62">
        <v>1</v>
      </c>
      <c r="G62">
        <v>1</v>
      </c>
      <c r="H62">
        <v>2</v>
      </c>
      <c r="I62" t="s">
        <v>1026</v>
      </c>
      <c r="J62" t="s">
        <v>1027</v>
      </c>
      <c r="K62" t="s">
        <v>1028</v>
      </c>
      <c r="L62">
        <v>1368</v>
      </c>
      <c r="N62">
        <v>1011</v>
      </c>
      <c r="O62" t="s">
        <v>1006</v>
      </c>
      <c r="P62" t="s">
        <v>1006</v>
      </c>
      <c r="Q62">
        <v>1</v>
      </c>
      <c r="W62">
        <v>0</v>
      </c>
      <c r="X62">
        <v>325281995</v>
      </c>
      <c r="Y62">
        <v>4</v>
      </c>
      <c r="AA62">
        <v>0</v>
      </c>
      <c r="AB62">
        <v>1.98</v>
      </c>
      <c r="AC62">
        <v>0</v>
      </c>
      <c r="AD62">
        <v>0</v>
      </c>
      <c r="AE62">
        <v>0</v>
      </c>
      <c r="AF62">
        <v>1.98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0</v>
      </c>
      <c r="AP62">
        <v>1</v>
      </c>
      <c r="AQ62">
        <v>1</v>
      </c>
      <c r="AR62">
        <v>0</v>
      </c>
      <c r="AT62">
        <v>3.2</v>
      </c>
      <c r="AU62" t="s">
        <v>820</v>
      </c>
      <c r="AV62">
        <v>0</v>
      </c>
      <c r="AW62">
        <v>2</v>
      </c>
      <c r="AX62">
        <v>51867070</v>
      </c>
      <c r="AY62">
        <v>1</v>
      </c>
      <c r="AZ62">
        <v>0</v>
      </c>
      <c r="BA62">
        <v>64</v>
      </c>
      <c r="BB62">
        <v>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6.3360000000000003</v>
      </c>
      <c r="BL62">
        <v>0</v>
      </c>
      <c r="BM62">
        <v>0</v>
      </c>
      <c r="BN62">
        <v>0</v>
      </c>
      <c r="BO62">
        <v>0</v>
      </c>
      <c r="BP62">
        <v>1</v>
      </c>
      <c r="BQ62">
        <v>0</v>
      </c>
      <c r="BR62">
        <v>7.92</v>
      </c>
      <c r="BS62">
        <v>0</v>
      </c>
      <c r="BT62">
        <v>0</v>
      </c>
      <c r="BU62">
        <v>0</v>
      </c>
      <c r="BV62">
        <v>0</v>
      </c>
      <c r="BW62">
        <v>1</v>
      </c>
      <c r="CX62">
        <f>Y62*Source!I40</f>
        <v>1.08</v>
      </c>
      <c r="CY62">
        <f>AB62</f>
        <v>1.98</v>
      </c>
      <c r="CZ62">
        <f>AF62</f>
        <v>1.98</v>
      </c>
      <c r="DA62">
        <f>AJ62</f>
        <v>1</v>
      </c>
      <c r="DB62">
        <f>ROUND((ROUND(AT62*CZ62,2)*1.25),6)</f>
        <v>7.9249999999999998</v>
      </c>
      <c r="DC62">
        <f>ROUND((ROUND(AT62*AG62,2)*1.25),6)</f>
        <v>0</v>
      </c>
    </row>
    <row r="63" spans="1:107" x14ac:dyDescent="0.2">
      <c r="A63">
        <f>ROW(Source!A40)</f>
        <v>40</v>
      </c>
      <c r="B63">
        <v>51866573</v>
      </c>
      <c r="C63">
        <v>51867065</v>
      </c>
      <c r="D63">
        <v>39129630</v>
      </c>
      <c r="E63">
        <v>1</v>
      </c>
      <c r="F63">
        <v>1</v>
      </c>
      <c r="G63">
        <v>1</v>
      </c>
      <c r="H63">
        <v>2</v>
      </c>
      <c r="I63" t="s">
        <v>1032</v>
      </c>
      <c r="J63" t="s">
        <v>1033</v>
      </c>
      <c r="K63" t="s">
        <v>1034</v>
      </c>
      <c r="L63">
        <v>1368</v>
      </c>
      <c r="N63">
        <v>1011</v>
      </c>
      <c r="O63" t="s">
        <v>1006</v>
      </c>
      <c r="P63" t="s">
        <v>1006</v>
      </c>
      <c r="Q63">
        <v>1</v>
      </c>
      <c r="W63">
        <v>0</v>
      </c>
      <c r="X63">
        <v>-671646184</v>
      </c>
      <c r="Y63">
        <v>0.16250000000000001</v>
      </c>
      <c r="AA63">
        <v>0</v>
      </c>
      <c r="AB63">
        <v>91.76</v>
      </c>
      <c r="AC63">
        <v>10.35</v>
      </c>
      <c r="AD63">
        <v>0</v>
      </c>
      <c r="AE63">
        <v>0</v>
      </c>
      <c r="AF63">
        <v>91.76</v>
      </c>
      <c r="AG63">
        <v>10.35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0</v>
      </c>
      <c r="AP63">
        <v>1</v>
      </c>
      <c r="AQ63">
        <v>1</v>
      </c>
      <c r="AR63">
        <v>0</v>
      </c>
      <c r="AT63">
        <v>0.13</v>
      </c>
      <c r="AU63" t="s">
        <v>820</v>
      </c>
      <c r="AV63">
        <v>0</v>
      </c>
      <c r="AW63">
        <v>2</v>
      </c>
      <c r="AX63">
        <v>51867071</v>
      </c>
      <c r="AY63">
        <v>1</v>
      </c>
      <c r="AZ63">
        <v>0</v>
      </c>
      <c r="BA63">
        <v>65</v>
      </c>
      <c r="BB63">
        <v>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11.928800000000001</v>
      </c>
      <c r="BL63">
        <v>1.3454999999999999</v>
      </c>
      <c r="BM63">
        <v>0</v>
      </c>
      <c r="BN63">
        <v>0</v>
      </c>
      <c r="BO63">
        <v>0</v>
      </c>
      <c r="BP63">
        <v>1</v>
      </c>
      <c r="BQ63">
        <v>0</v>
      </c>
      <c r="BR63">
        <v>14.911</v>
      </c>
      <c r="BS63">
        <v>1.681875</v>
      </c>
      <c r="BT63">
        <v>0</v>
      </c>
      <c r="BU63">
        <v>0</v>
      </c>
      <c r="BV63">
        <v>0</v>
      </c>
      <c r="BW63">
        <v>1</v>
      </c>
      <c r="CX63">
        <f>Y63*Source!I40</f>
        <v>4.3875000000000004E-2</v>
      </c>
      <c r="CY63">
        <f>AB63</f>
        <v>91.76</v>
      </c>
      <c r="CZ63">
        <f>AF63</f>
        <v>91.76</v>
      </c>
      <c r="DA63">
        <f>AJ63</f>
        <v>1</v>
      </c>
      <c r="DB63">
        <f>ROUND((ROUND(AT63*CZ63,2)*1.25),6)</f>
        <v>14.9125</v>
      </c>
      <c r="DC63">
        <f>ROUND((ROUND(AT63*AG63,2)*1.25),6)</f>
        <v>1.6875</v>
      </c>
    </row>
    <row r="64" spans="1:107" x14ac:dyDescent="0.2">
      <c r="A64">
        <f>ROW(Source!A41)</f>
        <v>41</v>
      </c>
      <c r="B64">
        <v>51866571</v>
      </c>
      <c r="C64">
        <v>51867065</v>
      </c>
      <c r="D64">
        <v>23134955</v>
      </c>
      <c r="E64">
        <v>1</v>
      </c>
      <c r="F64">
        <v>1</v>
      </c>
      <c r="G64">
        <v>1</v>
      </c>
      <c r="H64">
        <v>1</v>
      </c>
      <c r="I64" t="s">
        <v>1024</v>
      </c>
      <c r="K64" t="s">
        <v>1025</v>
      </c>
      <c r="L64">
        <v>1369</v>
      </c>
      <c r="N64">
        <v>1013</v>
      </c>
      <c r="O64" t="s">
        <v>71</v>
      </c>
      <c r="P64" t="s">
        <v>71</v>
      </c>
      <c r="Q64">
        <v>1</v>
      </c>
      <c r="W64">
        <v>0</v>
      </c>
      <c r="X64">
        <v>-1698459243</v>
      </c>
      <c r="Y64">
        <v>51.174999999999997</v>
      </c>
      <c r="AA64">
        <v>0</v>
      </c>
      <c r="AB64">
        <v>0</v>
      </c>
      <c r="AC64">
        <v>0</v>
      </c>
      <c r="AD64">
        <v>161.34</v>
      </c>
      <c r="AE64">
        <v>0</v>
      </c>
      <c r="AF64">
        <v>0</v>
      </c>
      <c r="AG64">
        <v>0</v>
      </c>
      <c r="AH64">
        <v>161.34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0</v>
      </c>
      <c r="AP64">
        <v>1</v>
      </c>
      <c r="AQ64">
        <v>1</v>
      </c>
      <c r="AR64">
        <v>0</v>
      </c>
      <c r="AT64">
        <v>44.5</v>
      </c>
      <c r="AU64" t="s">
        <v>821</v>
      </c>
      <c r="AV64">
        <v>1</v>
      </c>
      <c r="AW64">
        <v>2</v>
      </c>
      <c r="AX64">
        <v>51867069</v>
      </c>
      <c r="AY64">
        <v>1</v>
      </c>
      <c r="AZ64">
        <v>131072</v>
      </c>
      <c r="BA64">
        <v>67</v>
      </c>
      <c r="BB64">
        <v>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7179.63</v>
      </c>
      <c r="BN64">
        <v>44.5</v>
      </c>
      <c r="BO64">
        <v>0</v>
      </c>
      <c r="BP64">
        <v>1</v>
      </c>
      <c r="BQ64">
        <v>0</v>
      </c>
      <c r="BR64">
        <v>0</v>
      </c>
      <c r="BS64">
        <v>0</v>
      </c>
      <c r="BT64">
        <v>8256.5745000000006</v>
      </c>
      <c r="BU64">
        <v>51.174999999999997</v>
      </c>
      <c r="BV64">
        <v>0</v>
      </c>
      <c r="BW64">
        <v>1</v>
      </c>
      <c r="CX64">
        <f>Y64*Source!I41</f>
        <v>13.81725</v>
      </c>
      <c r="CY64">
        <f>AD64</f>
        <v>161.34</v>
      </c>
      <c r="CZ64">
        <f>AH64</f>
        <v>161.34</v>
      </c>
      <c r="DA64">
        <f>AL64</f>
        <v>1</v>
      </c>
      <c r="DB64">
        <f>ROUND((ROUND(AT64*CZ64,2)*1.15),6)</f>
        <v>8256.5745000000006</v>
      </c>
      <c r="DC64">
        <f>ROUND((ROUND(AT64*AG64,2)*1.15),6)</f>
        <v>0</v>
      </c>
    </row>
    <row r="65" spans="1:107" x14ac:dyDescent="0.2">
      <c r="A65">
        <f>ROW(Source!A41)</f>
        <v>41</v>
      </c>
      <c r="B65">
        <v>51866571</v>
      </c>
      <c r="C65">
        <v>51867065</v>
      </c>
      <c r="D65">
        <v>39128477</v>
      </c>
      <c r="E65">
        <v>1</v>
      </c>
      <c r="F65">
        <v>1</v>
      </c>
      <c r="G65">
        <v>1</v>
      </c>
      <c r="H65">
        <v>2</v>
      </c>
      <c r="I65" t="s">
        <v>1026</v>
      </c>
      <c r="J65" t="s">
        <v>1027</v>
      </c>
      <c r="K65" t="s">
        <v>1028</v>
      </c>
      <c r="L65">
        <v>1368</v>
      </c>
      <c r="N65">
        <v>1011</v>
      </c>
      <c r="O65" t="s">
        <v>1006</v>
      </c>
      <c r="P65" t="s">
        <v>1006</v>
      </c>
      <c r="Q65">
        <v>1</v>
      </c>
      <c r="W65">
        <v>0</v>
      </c>
      <c r="X65">
        <v>325281995</v>
      </c>
      <c r="Y65">
        <v>4</v>
      </c>
      <c r="AA65">
        <v>0</v>
      </c>
      <c r="AB65">
        <v>11.42</v>
      </c>
      <c r="AC65">
        <v>0</v>
      </c>
      <c r="AD65">
        <v>0</v>
      </c>
      <c r="AE65">
        <v>0</v>
      </c>
      <c r="AF65">
        <v>11.42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0</v>
      </c>
      <c r="AP65">
        <v>1</v>
      </c>
      <c r="AQ65">
        <v>1</v>
      </c>
      <c r="AR65">
        <v>0</v>
      </c>
      <c r="AT65">
        <v>3.2</v>
      </c>
      <c r="AU65" t="s">
        <v>820</v>
      </c>
      <c r="AV65">
        <v>0</v>
      </c>
      <c r="AW65">
        <v>2</v>
      </c>
      <c r="AX65">
        <v>51867070</v>
      </c>
      <c r="AY65">
        <v>1</v>
      </c>
      <c r="AZ65">
        <v>0</v>
      </c>
      <c r="BA65">
        <v>68</v>
      </c>
      <c r="BB65">
        <v>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36.543999999999997</v>
      </c>
      <c r="BL65">
        <v>0</v>
      </c>
      <c r="BM65">
        <v>0</v>
      </c>
      <c r="BN65">
        <v>0</v>
      </c>
      <c r="BO65">
        <v>0</v>
      </c>
      <c r="BP65">
        <v>1</v>
      </c>
      <c r="BQ65">
        <v>0</v>
      </c>
      <c r="BR65">
        <v>45.68</v>
      </c>
      <c r="BS65">
        <v>0</v>
      </c>
      <c r="BT65">
        <v>0</v>
      </c>
      <c r="BU65">
        <v>0</v>
      </c>
      <c r="BV65">
        <v>0</v>
      </c>
      <c r="BW65">
        <v>1</v>
      </c>
      <c r="CX65">
        <f>Y65*Source!I41</f>
        <v>1.08</v>
      </c>
      <c r="CY65">
        <f>AB65</f>
        <v>11.42</v>
      </c>
      <c r="CZ65">
        <f>AF65</f>
        <v>11.42</v>
      </c>
      <c r="DA65">
        <f>AJ65</f>
        <v>1</v>
      </c>
      <c r="DB65">
        <f>ROUND((ROUND(AT65*CZ65,2)*1.25),6)</f>
        <v>45.674999999999997</v>
      </c>
      <c r="DC65">
        <f>ROUND((ROUND(AT65*AG65,2)*1.25),6)</f>
        <v>0</v>
      </c>
    </row>
    <row r="66" spans="1:107" x14ac:dyDescent="0.2">
      <c r="A66">
        <f>ROW(Source!A41)</f>
        <v>41</v>
      </c>
      <c r="B66">
        <v>51866571</v>
      </c>
      <c r="C66">
        <v>51867065</v>
      </c>
      <c r="D66">
        <v>39129630</v>
      </c>
      <c r="E66">
        <v>1</v>
      </c>
      <c r="F66">
        <v>1</v>
      </c>
      <c r="G66">
        <v>1</v>
      </c>
      <c r="H66">
        <v>2</v>
      </c>
      <c r="I66" t="s">
        <v>1032</v>
      </c>
      <c r="J66" t="s">
        <v>1033</v>
      </c>
      <c r="K66" t="s">
        <v>1034</v>
      </c>
      <c r="L66">
        <v>1368</v>
      </c>
      <c r="N66">
        <v>1011</v>
      </c>
      <c r="O66" t="s">
        <v>1006</v>
      </c>
      <c r="P66" t="s">
        <v>1006</v>
      </c>
      <c r="Q66">
        <v>1</v>
      </c>
      <c r="W66">
        <v>0</v>
      </c>
      <c r="X66">
        <v>-671646184</v>
      </c>
      <c r="Y66">
        <v>0.16250000000000001</v>
      </c>
      <c r="AA66">
        <v>0</v>
      </c>
      <c r="AB66">
        <v>800.28</v>
      </c>
      <c r="AC66">
        <v>204.52</v>
      </c>
      <c r="AD66">
        <v>0</v>
      </c>
      <c r="AE66">
        <v>0</v>
      </c>
      <c r="AF66">
        <v>800.28</v>
      </c>
      <c r="AG66">
        <v>204.52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0</v>
      </c>
      <c r="AP66">
        <v>1</v>
      </c>
      <c r="AQ66">
        <v>1</v>
      </c>
      <c r="AR66">
        <v>0</v>
      </c>
      <c r="AT66">
        <v>0.13</v>
      </c>
      <c r="AU66" t="s">
        <v>820</v>
      </c>
      <c r="AV66">
        <v>0</v>
      </c>
      <c r="AW66">
        <v>2</v>
      </c>
      <c r="AX66">
        <v>51867071</v>
      </c>
      <c r="AY66">
        <v>1</v>
      </c>
      <c r="AZ66">
        <v>0</v>
      </c>
      <c r="BA66">
        <v>69</v>
      </c>
      <c r="BB66">
        <v>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104.0364</v>
      </c>
      <c r="BL66">
        <v>26.587599999999998</v>
      </c>
      <c r="BM66">
        <v>0</v>
      </c>
      <c r="BN66">
        <v>0</v>
      </c>
      <c r="BO66">
        <v>0</v>
      </c>
      <c r="BP66">
        <v>1</v>
      </c>
      <c r="BQ66">
        <v>0</v>
      </c>
      <c r="BR66">
        <v>130.0455</v>
      </c>
      <c r="BS66">
        <v>33.234499999999997</v>
      </c>
      <c r="BT66">
        <v>0</v>
      </c>
      <c r="BU66">
        <v>0</v>
      </c>
      <c r="BV66">
        <v>0</v>
      </c>
      <c r="BW66">
        <v>1</v>
      </c>
      <c r="CX66">
        <f>Y66*Source!I41</f>
        <v>4.3875000000000004E-2</v>
      </c>
      <c r="CY66">
        <f>AB66</f>
        <v>800.28</v>
      </c>
      <c r="CZ66">
        <f>AF66</f>
        <v>800.28</v>
      </c>
      <c r="DA66">
        <f>AJ66</f>
        <v>1</v>
      </c>
      <c r="DB66">
        <f>ROUND((ROUND(AT66*CZ66,2)*1.25),6)</f>
        <v>130.05000000000001</v>
      </c>
      <c r="DC66">
        <f>ROUND((ROUND(AT66*AG66,2)*1.25),6)</f>
        <v>33.237499999999997</v>
      </c>
    </row>
    <row r="67" spans="1:107" x14ac:dyDescent="0.2">
      <c r="A67">
        <f>ROW(Source!A44)</f>
        <v>44</v>
      </c>
      <c r="B67">
        <v>51866573</v>
      </c>
      <c r="C67">
        <v>51867074</v>
      </c>
      <c r="D67">
        <v>23129805</v>
      </c>
      <c r="E67">
        <v>1</v>
      </c>
      <c r="F67">
        <v>1</v>
      </c>
      <c r="G67">
        <v>1</v>
      </c>
      <c r="H67">
        <v>1</v>
      </c>
      <c r="I67" t="s">
        <v>1054</v>
      </c>
      <c r="K67" t="s">
        <v>1055</v>
      </c>
      <c r="L67">
        <v>1369</v>
      </c>
      <c r="N67">
        <v>1013</v>
      </c>
      <c r="O67" t="s">
        <v>71</v>
      </c>
      <c r="P67" t="s">
        <v>71</v>
      </c>
      <c r="Q67">
        <v>1</v>
      </c>
      <c r="W67">
        <v>0</v>
      </c>
      <c r="X67">
        <v>756115135</v>
      </c>
      <c r="Y67">
        <v>24.449000000000002</v>
      </c>
      <c r="AA67">
        <v>0</v>
      </c>
      <c r="AB67">
        <v>0</v>
      </c>
      <c r="AC67">
        <v>0</v>
      </c>
      <c r="AD67">
        <v>149.68</v>
      </c>
      <c r="AE67">
        <v>0</v>
      </c>
      <c r="AF67">
        <v>0</v>
      </c>
      <c r="AG67">
        <v>0</v>
      </c>
      <c r="AH67">
        <v>149.68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0</v>
      </c>
      <c r="AP67">
        <v>1</v>
      </c>
      <c r="AQ67">
        <v>1</v>
      </c>
      <c r="AR67">
        <v>0</v>
      </c>
      <c r="AT67">
        <v>21.26</v>
      </c>
      <c r="AU67" t="s">
        <v>821</v>
      </c>
      <c r="AV67">
        <v>1</v>
      </c>
      <c r="AW67">
        <v>2</v>
      </c>
      <c r="AX67">
        <v>51867081</v>
      </c>
      <c r="AY67">
        <v>1</v>
      </c>
      <c r="AZ67">
        <v>0</v>
      </c>
      <c r="BA67">
        <v>71</v>
      </c>
      <c r="BB67">
        <v>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3182.1968000000002</v>
      </c>
      <c r="BN67">
        <v>21.26</v>
      </c>
      <c r="BO67">
        <v>0</v>
      </c>
      <c r="BP67">
        <v>1</v>
      </c>
      <c r="BQ67">
        <v>0</v>
      </c>
      <c r="BR67">
        <v>0</v>
      </c>
      <c r="BS67">
        <v>0</v>
      </c>
      <c r="BT67">
        <v>3659.5263199999999</v>
      </c>
      <c r="BU67">
        <v>24.449000000000002</v>
      </c>
      <c r="BV67">
        <v>0</v>
      </c>
      <c r="BW67">
        <v>1</v>
      </c>
      <c r="CX67">
        <f>Y67*Source!I44</f>
        <v>12.811276000000001</v>
      </c>
      <c r="CY67">
        <f>AD67</f>
        <v>149.68</v>
      </c>
      <c r="CZ67">
        <f>AH67</f>
        <v>149.68</v>
      </c>
      <c r="DA67">
        <f>AL67</f>
        <v>1</v>
      </c>
      <c r="DB67">
        <f>ROUND((ROUND(AT67*CZ67,2)*1.15),6)</f>
        <v>3659.53</v>
      </c>
      <c r="DC67">
        <f>ROUND((ROUND(AT67*AG67,2)*1.15),6)</f>
        <v>0</v>
      </c>
    </row>
    <row r="68" spans="1:107" x14ac:dyDescent="0.2">
      <c r="A68">
        <f>ROW(Source!A44)</f>
        <v>44</v>
      </c>
      <c r="B68">
        <v>51866573</v>
      </c>
      <c r="C68">
        <v>51867074</v>
      </c>
      <c r="D68">
        <v>121548</v>
      </c>
      <c r="E68">
        <v>1</v>
      </c>
      <c r="F68">
        <v>1</v>
      </c>
      <c r="G68">
        <v>1</v>
      </c>
      <c r="H68">
        <v>1</v>
      </c>
      <c r="I68" t="s">
        <v>96</v>
      </c>
      <c r="K68" t="s">
        <v>1001</v>
      </c>
      <c r="L68">
        <v>608254</v>
      </c>
      <c r="N68">
        <v>1013</v>
      </c>
      <c r="O68" t="s">
        <v>1002</v>
      </c>
      <c r="P68" t="s">
        <v>1002</v>
      </c>
      <c r="Q68">
        <v>1</v>
      </c>
      <c r="W68">
        <v>0</v>
      </c>
      <c r="X68">
        <v>-185737400</v>
      </c>
      <c r="Y68">
        <v>6.25E-2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0</v>
      </c>
      <c r="AP68">
        <v>1</v>
      </c>
      <c r="AQ68">
        <v>1</v>
      </c>
      <c r="AR68">
        <v>0</v>
      </c>
      <c r="AT68">
        <v>0.05</v>
      </c>
      <c r="AU68" t="s">
        <v>820</v>
      </c>
      <c r="AV68">
        <v>2</v>
      </c>
      <c r="AW68">
        <v>2</v>
      </c>
      <c r="AX68">
        <v>51867082</v>
      </c>
      <c r="AY68">
        <v>1</v>
      </c>
      <c r="AZ68">
        <v>0</v>
      </c>
      <c r="BA68">
        <v>72</v>
      </c>
      <c r="BB68">
        <v>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0.05</v>
      </c>
      <c r="BP68">
        <v>1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6.25E-2</v>
      </c>
      <c r="BW68">
        <v>1</v>
      </c>
      <c r="CX68">
        <f>Y68*Source!I44</f>
        <v>3.2750000000000001E-2</v>
      </c>
      <c r="CY68">
        <f>AD68</f>
        <v>0</v>
      </c>
      <c r="CZ68">
        <f>AH68</f>
        <v>0</v>
      </c>
      <c r="DA68">
        <f>AL68</f>
        <v>1</v>
      </c>
      <c r="DB68">
        <f>ROUND((ROUND(AT68*CZ68,2)*1.25),6)</f>
        <v>0</v>
      </c>
      <c r="DC68">
        <f>ROUND((ROUND(AT68*AG68,2)*1.25),6)</f>
        <v>0</v>
      </c>
    </row>
    <row r="69" spans="1:107" x14ac:dyDescent="0.2">
      <c r="A69">
        <f>ROW(Source!A44)</f>
        <v>44</v>
      </c>
      <c r="B69">
        <v>51866573</v>
      </c>
      <c r="C69">
        <v>51867074</v>
      </c>
      <c r="D69">
        <v>39127752</v>
      </c>
      <c r="E69">
        <v>1</v>
      </c>
      <c r="F69">
        <v>1</v>
      </c>
      <c r="G69">
        <v>1</v>
      </c>
      <c r="H69">
        <v>2</v>
      </c>
      <c r="I69" t="s">
        <v>1003</v>
      </c>
      <c r="J69" t="s">
        <v>1004</v>
      </c>
      <c r="K69" t="s">
        <v>1005</v>
      </c>
      <c r="L69">
        <v>1368</v>
      </c>
      <c r="N69">
        <v>1011</v>
      </c>
      <c r="O69" t="s">
        <v>1006</v>
      </c>
      <c r="P69" t="s">
        <v>1006</v>
      </c>
      <c r="Q69">
        <v>1</v>
      </c>
      <c r="W69">
        <v>0</v>
      </c>
      <c r="X69">
        <v>1753337916</v>
      </c>
      <c r="Y69">
        <v>6.25E-2</v>
      </c>
      <c r="AA69">
        <v>0</v>
      </c>
      <c r="AB69">
        <v>299.41000000000003</v>
      </c>
      <c r="AC69">
        <v>229.54</v>
      </c>
      <c r="AD69">
        <v>0</v>
      </c>
      <c r="AE69">
        <v>0</v>
      </c>
      <c r="AF69">
        <v>299.41000000000003</v>
      </c>
      <c r="AG69">
        <v>229.54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0</v>
      </c>
      <c r="AP69">
        <v>1</v>
      </c>
      <c r="AQ69">
        <v>1</v>
      </c>
      <c r="AR69">
        <v>0</v>
      </c>
      <c r="AT69">
        <v>0.05</v>
      </c>
      <c r="AU69" t="s">
        <v>820</v>
      </c>
      <c r="AV69">
        <v>0</v>
      </c>
      <c r="AW69">
        <v>2</v>
      </c>
      <c r="AX69">
        <v>51867083</v>
      </c>
      <c r="AY69">
        <v>1</v>
      </c>
      <c r="AZ69">
        <v>0</v>
      </c>
      <c r="BA69">
        <v>73</v>
      </c>
      <c r="BB69">
        <v>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14.970499999999999</v>
      </c>
      <c r="BL69">
        <v>11.477</v>
      </c>
      <c r="BM69">
        <v>0</v>
      </c>
      <c r="BN69">
        <v>0</v>
      </c>
      <c r="BO69">
        <v>0</v>
      </c>
      <c r="BP69">
        <v>1</v>
      </c>
      <c r="BQ69">
        <v>0</v>
      </c>
      <c r="BR69">
        <v>18.713125000000002</v>
      </c>
      <c r="BS69">
        <v>14.34625</v>
      </c>
      <c r="BT69">
        <v>0</v>
      </c>
      <c r="BU69">
        <v>0</v>
      </c>
      <c r="BV69">
        <v>0</v>
      </c>
      <c r="BW69">
        <v>1</v>
      </c>
      <c r="CX69">
        <f>Y69*Source!I44</f>
        <v>3.2750000000000001E-2</v>
      </c>
      <c r="CY69">
        <f>AB69</f>
        <v>299.41000000000003</v>
      </c>
      <c r="CZ69">
        <f>AF69</f>
        <v>299.41000000000003</v>
      </c>
      <c r="DA69">
        <f>AJ69</f>
        <v>1</v>
      </c>
      <c r="DB69">
        <f>ROUND((ROUND(AT69*CZ69,2)*1.25),6)</f>
        <v>18.712499999999999</v>
      </c>
      <c r="DC69">
        <f>ROUND((ROUND(AT69*AG69,2)*1.25),6)</f>
        <v>14.35</v>
      </c>
    </row>
    <row r="70" spans="1:107" x14ac:dyDescent="0.2">
      <c r="A70">
        <f>ROW(Source!A44)</f>
        <v>44</v>
      </c>
      <c r="B70">
        <v>51866573</v>
      </c>
      <c r="C70">
        <v>51867074</v>
      </c>
      <c r="D70">
        <v>39129630</v>
      </c>
      <c r="E70">
        <v>1</v>
      </c>
      <c r="F70">
        <v>1</v>
      </c>
      <c r="G70">
        <v>1</v>
      </c>
      <c r="H70">
        <v>2</v>
      </c>
      <c r="I70" t="s">
        <v>1032</v>
      </c>
      <c r="J70" t="s">
        <v>1033</v>
      </c>
      <c r="K70" t="s">
        <v>1034</v>
      </c>
      <c r="L70">
        <v>1368</v>
      </c>
      <c r="N70">
        <v>1011</v>
      </c>
      <c r="O70" t="s">
        <v>1006</v>
      </c>
      <c r="P70" t="s">
        <v>1006</v>
      </c>
      <c r="Q70">
        <v>1</v>
      </c>
      <c r="W70">
        <v>1</v>
      </c>
      <c r="X70">
        <v>-671646184</v>
      </c>
      <c r="Y70">
        <v>0.23749999999999999</v>
      </c>
      <c r="AA70">
        <v>0</v>
      </c>
      <c r="AB70">
        <v>772.82</v>
      </c>
      <c r="AC70">
        <v>0</v>
      </c>
      <c r="AD70">
        <v>0</v>
      </c>
      <c r="AE70">
        <v>0</v>
      </c>
      <c r="AF70">
        <v>772.82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0</v>
      </c>
      <c r="AP70">
        <v>1</v>
      </c>
      <c r="AQ70">
        <v>1</v>
      </c>
      <c r="AR70">
        <v>0</v>
      </c>
      <c r="AT70">
        <v>0.19</v>
      </c>
      <c r="AU70" t="s">
        <v>820</v>
      </c>
      <c r="AV70">
        <v>0</v>
      </c>
      <c r="AW70">
        <v>2</v>
      </c>
      <c r="AX70">
        <v>51867084</v>
      </c>
      <c r="AY70">
        <v>2</v>
      </c>
      <c r="AZ70">
        <v>65536</v>
      </c>
      <c r="BA70">
        <v>74</v>
      </c>
      <c r="BB70">
        <v>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146.83580000000001</v>
      </c>
      <c r="BL70">
        <v>0</v>
      </c>
      <c r="BM70">
        <v>0</v>
      </c>
      <c r="BN70">
        <v>0</v>
      </c>
      <c r="BO70">
        <v>0</v>
      </c>
      <c r="BP70">
        <v>1</v>
      </c>
      <c r="BQ70">
        <v>0</v>
      </c>
      <c r="BR70">
        <v>183.54474999999999</v>
      </c>
      <c r="BS70">
        <v>0</v>
      </c>
      <c r="BT70">
        <v>0</v>
      </c>
      <c r="BU70">
        <v>0</v>
      </c>
      <c r="BV70">
        <v>0</v>
      </c>
      <c r="BW70">
        <v>1</v>
      </c>
      <c r="CX70">
        <f>Y70*Source!I44</f>
        <v>0.12445000000000001</v>
      </c>
      <c r="CY70">
        <f>AB70</f>
        <v>772.82</v>
      </c>
      <c r="CZ70">
        <f>AF70</f>
        <v>772.82</v>
      </c>
      <c r="DA70">
        <f>AJ70</f>
        <v>1</v>
      </c>
      <c r="DB70">
        <f>ROUND((ROUND(AT70*CZ70,2)*1.25),6)</f>
        <v>183.55</v>
      </c>
      <c r="DC70">
        <f>ROUND((ROUND(AT70*AG70,2)*1.25),6)</f>
        <v>0</v>
      </c>
    </row>
    <row r="71" spans="1:107" x14ac:dyDescent="0.2">
      <c r="A71">
        <f>ROW(Source!A44)</f>
        <v>44</v>
      </c>
      <c r="B71">
        <v>51866573</v>
      </c>
      <c r="C71">
        <v>51867074</v>
      </c>
      <c r="D71">
        <v>39055947</v>
      </c>
      <c r="E71">
        <v>1</v>
      </c>
      <c r="F71">
        <v>1</v>
      </c>
      <c r="G71">
        <v>1</v>
      </c>
      <c r="H71">
        <v>3</v>
      </c>
      <c r="I71" t="s">
        <v>1041</v>
      </c>
      <c r="J71" t="s">
        <v>1042</v>
      </c>
      <c r="K71" t="s">
        <v>1043</v>
      </c>
      <c r="L71">
        <v>1354</v>
      </c>
      <c r="N71">
        <v>1010</v>
      </c>
      <c r="O71" t="s">
        <v>527</v>
      </c>
      <c r="P71" t="s">
        <v>527</v>
      </c>
      <c r="Q71">
        <v>1</v>
      </c>
      <c r="W71">
        <v>0</v>
      </c>
      <c r="X71">
        <v>697798727</v>
      </c>
      <c r="Y71">
        <v>45.3</v>
      </c>
      <c r="AA71">
        <v>223.91</v>
      </c>
      <c r="AB71">
        <v>0</v>
      </c>
      <c r="AC71">
        <v>0</v>
      </c>
      <c r="AD71">
        <v>0</v>
      </c>
      <c r="AE71">
        <v>223.91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0</v>
      </c>
      <c r="AP71">
        <v>0</v>
      </c>
      <c r="AQ71">
        <v>1</v>
      </c>
      <c r="AR71">
        <v>0</v>
      </c>
      <c r="AT71">
        <v>45.3</v>
      </c>
      <c r="AV71">
        <v>0</v>
      </c>
      <c r="AW71">
        <v>2</v>
      </c>
      <c r="AX71">
        <v>51867085</v>
      </c>
      <c r="AY71">
        <v>1</v>
      </c>
      <c r="AZ71">
        <v>0</v>
      </c>
      <c r="BA71">
        <v>75</v>
      </c>
      <c r="BB71">
        <v>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10143.123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1</v>
      </c>
      <c r="BQ71">
        <v>10143.123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1</v>
      </c>
      <c r="CX71">
        <f>Y71*Source!I44</f>
        <v>23.737199999999998</v>
      </c>
      <c r="CY71">
        <f>AA71</f>
        <v>223.91</v>
      </c>
      <c r="CZ71">
        <f>AE71</f>
        <v>223.91</v>
      </c>
      <c r="DA71">
        <f>AI71</f>
        <v>1</v>
      </c>
      <c r="DB71">
        <f>ROUND(ROUND(AT71*CZ71,2),6)</f>
        <v>10143.120000000001</v>
      </c>
      <c r="DC71">
        <f>ROUND(ROUND(AT71*AG71,2),6)</f>
        <v>0</v>
      </c>
    </row>
    <row r="72" spans="1:107" x14ac:dyDescent="0.2">
      <c r="A72">
        <f>ROW(Source!A44)</f>
        <v>44</v>
      </c>
      <c r="B72">
        <v>51866573</v>
      </c>
      <c r="C72">
        <v>51867074</v>
      </c>
      <c r="D72">
        <v>39062985</v>
      </c>
      <c r="E72">
        <v>1</v>
      </c>
      <c r="F72">
        <v>1</v>
      </c>
      <c r="G72">
        <v>1</v>
      </c>
      <c r="H72">
        <v>3</v>
      </c>
      <c r="I72" t="s">
        <v>1051</v>
      </c>
      <c r="J72" t="s">
        <v>1052</v>
      </c>
      <c r="K72" t="s">
        <v>1053</v>
      </c>
      <c r="L72">
        <v>1354</v>
      </c>
      <c r="N72">
        <v>1010</v>
      </c>
      <c r="O72" t="s">
        <v>527</v>
      </c>
      <c r="P72" t="s">
        <v>527</v>
      </c>
      <c r="Q72">
        <v>1</v>
      </c>
      <c r="W72">
        <v>0</v>
      </c>
      <c r="X72">
        <v>565283389</v>
      </c>
      <c r="Y72">
        <v>400</v>
      </c>
      <c r="AA72">
        <v>2.23</v>
      </c>
      <c r="AB72">
        <v>0</v>
      </c>
      <c r="AC72">
        <v>0</v>
      </c>
      <c r="AD72">
        <v>0</v>
      </c>
      <c r="AE72">
        <v>2.23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0</v>
      </c>
      <c r="AP72">
        <v>0</v>
      </c>
      <c r="AQ72">
        <v>1</v>
      </c>
      <c r="AR72">
        <v>0</v>
      </c>
      <c r="AT72">
        <v>400</v>
      </c>
      <c r="AV72">
        <v>0</v>
      </c>
      <c r="AW72">
        <v>2</v>
      </c>
      <c r="AX72">
        <v>51867087</v>
      </c>
      <c r="AY72">
        <v>1</v>
      </c>
      <c r="AZ72">
        <v>0</v>
      </c>
      <c r="BA72">
        <v>77</v>
      </c>
      <c r="BB72">
        <v>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892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1</v>
      </c>
      <c r="BQ72">
        <v>892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CX72">
        <f>Y72*Source!I44</f>
        <v>209.60000000000002</v>
      </c>
      <c r="CY72">
        <f>AA72</f>
        <v>2.23</v>
      </c>
      <c r="CZ72">
        <f>AE72</f>
        <v>2.23</v>
      </c>
      <c r="DA72">
        <f>AI72</f>
        <v>1</v>
      </c>
      <c r="DB72">
        <f>ROUND(ROUND(AT72*CZ72,2),6)</f>
        <v>892</v>
      </c>
      <c r="DC72">
        <f>ROUND(ROUND(AT72*AG72,2),6)</f>
        <v>0</v>
      </c>
    </row>
    <row r="73" spans="1:107" x14ac:dyDescent="0.2">
      <c r="A73">
        <f>ROW(Source!A45)</f>
        <v>45</v>
      </c>
      <c r="B73">
        <v>51866571</v>
      </c>
      <c r="C73">
        <v>51867074</v>
      </c>
      <c r="D73">
        <v>23129805</v>
      </c>
      <c r="E73">
        <v>1</v>
      </c>
      <c r="F73">
        <v>1</v>
      </c>
      <c r="G73">
        <v>1</v>
      </c>
      <c r="H73">
        <v>1</v>
      </c>
      <c r="I73" t="s">
        <v>1054</v>
      </c>
      <c r="K73" t="s">
        <v>1055</v>
      </c>
      <c r="L73">
        <v>1369</v>
      </c>
      <c r="N73">
        <v>1013</v>
      </c>
      <c r="O73" t="s">
        <v>71</v>
      </c>
      <c r="P73" t="s">
        <v>71</v>
      </c>
      <c r="Q73">
        <v>1</v>
      </c>
      <c r="W73">
        <v>0</v>
      </c>
      <c r="X73">
        <v>756115135</v>
      </c>
      <c r="Y73">
        <v>24.449000000000002</v>
      </c>
      <c r="AA73">
        <v>0</v>
      </c>
      <c r="AB73">
        <v>0</v>
      </c>
      <c r="AC73">
        <v>0</v>
      </c>
      <c r="AD73">
        <v>157.76</v>
      </c>
      <c r="AE73">
        <v>0</v>
      </c>
      <c r="AF73">
        <v>0</v>
      </c>
      <c r="AG73">
        <v>0</v>
      </c>
      <c r="AH73">
        <v>157.76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0</v>
      </c>
      <c r="AP73">
        <v>1</v>
      </c>
      <c r="AQ73">
        <v>1</v>
      </c>
      <c r="AR73">
        <v>0</v>
      </c>
      <c r="AT73">
        <v>21.26</v>
      </c>
      <c r="AU73" t="s">
        <v>821</v>
      </c>
      <c r="AV73">
        <v>1</v>
      </c>
      <c r="AW73">
        <v>2</v>
      </c>
      <c r="AX73">
        <v>51867081</v>
      </c>
      <c r="AY73">
        <v>1</v>
      </c>
      <c r="AZ73">
        <v>131072</v>
      </c>
      <c r="BA73">
        <v>78</v>
      </c>
      <c r="BB73">
        <v>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3353.9776000000002</v>
      </c>
      <c r="BN73">
        <v>21.26</v>
      </c>
      <c r="BO73">
        <v>0</v>
      </c>
      <c r="BP73">
        <v>1</v>
      </c>
      <c r="BQ73">
        <v>0</v>
      </c>
      <c r="BR73">
        <v>0</v>
      </c>
      <c r="BS73">
        <v>0</v>
      </c>
      <c r="BT73">
        <v>3857.0742399999999</v>
      </c>
      <c r="BU73">
        <v>24.449000000000002</v>
      </c>
      <c r="BV73">
        <v>0</v>
      </c>
      <c r="BW73">
        <v>1</v>
      </c>
      <c r="CX73">
        <f>Y73*Source!I45</f>
        <v>12.811276000000001</v>
      </c>
      <c r="CY73">
        <f>AD73</f>
        <v>157.76</v>
      </c>
      <c r="CZ73">
        <f>AH73</f>
        <v>157.76</v>
      </c>
      <c r="DA73">
        <f>AL73</f>
        <v>1</v>
      </c>
      <c r="DB73">
        <f>ROUND((ROUND(AT73*CZ73,2)*1.15),6)</f>
        <v>3857.0770000000002</v>
      </c>
      <c r="DC73">
        <f>ROUND((ROUND(AT73*AG73,2)*1.15),6)</f>
        <v>0</v>
      </c>
    </row>
    <row r="74" spans="1:107" x14ac:dyDescent="0.2">
      <c r="A74">
        <f>ROW(Source!A45)</f>
        <v>45</v>
      </c>
      <c r="B74">
        <v>51866571</v>
      </c>
      <c r="C74">
        <v>51867074</v>
      </c>
      <c r="D74">
        <v>121548</v>
      </c>
      <c r="E74">
        <v>1</v>
      </c>
      <c r="F74">
        <v>1</v>
      </c>
      <c r="G74">
        <v>1</v>
      </c>
      <c r="H74">
        <v>1</v>
      </c>
      <c r="I74" t="s">
        <v>96</v>
      </c>
      <c r="K74" t="s">
        <v>1001</v>
      </c>
      <c r="L74">
        <v>608254</v>
      </c>
      <c r="N74">
        <v>1013</v>
      </c>
      <c r="O74" t="s">
        <v>1002</v>
      </c>
      <c r="P74" t="s">
        <v>1002</v>
      </c>
      <c r="Q74">
        <v>1</v>
      </c>
      <c r="W74">
        <v>0</v>
      </c>
      <c r="X74">
        <v>-185737400</v>
      </c>
      <c r="Y74">
        <v>6.25E-2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0</v>
      </c>
      <c r="AP74">
        <v>1</v>
      </c>
      <c r="AQ74">
        <v>1</v>
      </c>
      <c r="AR74">
        <v>0</v>
      </c>
      <c r="AT74">
        <v>0.05</v>
      </c>
      <c r="AU74" t="s">
        <v>820</v>
      </c>
      <c r="AV74">
        <v>2</v>
      </c>
      <c r="AW74">
        <v>2</v>
      </c>
      <c r="AX74">
        <v>51867082</v>
      </c>
      <c r="AY74">
        <v>1</v>
      </c>
      <c r="AZ74">
        <v>0</v>
      </c>
      <c r="BA74">
        <v>79</v>
      </c>
      <c r="BB74">
        <v>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0.05</v>
      </c>
      <c r="BP74">
        <v>1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6.25E-2</v>
      </c>
      <c r="BW74">
        <v>1</v>
      </c>
      <c r="CX74">
        <f>Y74*Source!I45</f>
        <v>3.2750000000000001E-2</v>
      </c>
      <c r="CY74">
        <f>AD74</f>
        <v>0</v>
      </c>
      <c r="CZ74">
        <f>AH74</f>
        <v>0</v>
      </c>
      <c r="DA74">
        <f>AL74</f>
        <v>1</v>
      </c>
      <c r="DB74">
        <f>ROUND((ROUND(AT74*CZ74,2)*1.25),6)</f>
        <v>0</v>
      </c>
      <c r="DC74">
        <f>ROUND((ROUND(AT74*AG74,2)*1.25),6)</f>
        <v>0</v>
      </c>
    </row>
    <row r="75" spans="1:107" x14ac:dyDescent="0.2">
      <c r="A75">
        <f>ROW(Source!A45)</f>
        <v>45</v>
      </c>
      <c r="B75">
        <v>51866571</v>
      </c>
      <c r="C75">
        <v>51867074</v>
      </c>
      <c r="D75">
        <v>39127752</v>
      </c>
      <c r="E75">
        <v>1</v>
      </c>
      <c r="F75">
        <v>1</v>
      </c>
      <c r="G75">
        <v>1</v>
      </c>
      <c r="H75">
        <v>2</v>
      </c>
      <c r="I75" t="s">
        <v>1003</v>
      </c>
      <c r="J75" t="s">
        <v>1004</v>
      </c>
      <c r="K75" t="s">
        <v>1005</v>
      </c>
      <c r="L75">
        <v>1368</v>
      </c>
      <c r="N75">
        <v>1011</v>
      </c>
      <c r="O75" t="s">
        <v>1006</v>
      </c>
      <c r="P75" t="s">
        <v>1006</v>
      </c>
      <c r="Q75">
        <v>1</v>
      </c>
      <c r="W75">
        <v>0</v>
      </c>
      <c r="X75">
        <v>1753337916</v>
      </c>
      <c r="Y75">
        <v>6.25E-2</v>
      </c>
      <c r="AA75">
        <v>0</v>
      </c>
      <c r="AB75">
        <v>308.94</v>
      </c>
      <c r="AC75">
        <v>239.1</v>
      </c>
      <c r="AD75">
        <v>0</v>
      </c>
      <c r="AE75">
        <v>0</v>
      </c>
      <c r="AF75">
        <v>308.94</v>
      </c>
      <c r="AG75">
        <v>239.1</v>
      </c>
      <c r="AH75">
        <v>0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0</v>
      </c>
      <c r="AP75">
        <v>1</v>
      </c>
      <c r="AQ75">
        <v>1</v>
      </c>
      <c r="AR75">
        <v>0</v>
      </c>
      <c r="AT75">
        <v>0.05</v>
      </c>
      <c r="AU75" t="s">
        <v>820</v>
      </c>
      <c r="AV75">
        <v>0</v>
      </c>
      <c r="AW75">
        <v>2</v>
      </c>
      <c r="AX75">
        <v>51867083</v>
      </c>
      <c r="AY75">
        <v>1</v>
      </c>
      <c r="AZ75">
        <v>0</v>
      </c>
      <c r="BA75">
        <v>80</v>
      </c>
      <c r="BB75">
        <v>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15.446999999999999</v>
      </c>
      <c r="BL75">
        <v>11.955</v>
      </c>
      <c r="BM75">
        <v>0</v>
      </c>
      <c r="BN75">
        <v>0</v>
      </c>
      <c r="BO75">
        <v>0</v>
      </c>
      <c r="BP75">
        <v>1</v>
      </c>
      <c r="BQ75">
        <v>0</v>
      </c>
      <c r="BR75">
        <v>19.30875</v>
      </c>
      <c r="BS75">
        <v>14.94375</v>
      </c>
      <c r="BT75">
        <v>0</v>
      </c>
      <c r="BU75">
        <v>0</v>
      </c>
      <c r="BV75">
        <v>0</v>
      </c>
      <c r="BW75">
        <v>1</v>
      </c>
      <c r="CX75">
        <f>Y75*Source!I45</f>
        <v>3.2750000000000001E-2</v>
      </c>
      <c r="CY75">
        <f>AB75</f>
        <v>308.94</v>
      </c>
      <c r="CZ75">
        <f>AF75</f>
        <v>308.94</v>
      </c>
      <c r="DA75">
        <f>AJ75</f>
        <v>1</v>
      </c>
      <c r="DB75">
        <f>ROUND((ROUND(AT75*CZ75,2)*1.25),6)</f>
        <v>19.3125</v>
      </c>
      <c r="DC75">
        <f>ROUND((ROUND(AT75*AG75,2)*1.25),6)</f>
        <v>14.95</v>
      </c>
    </row>
    <row r="76" spans="1:107" x14ac:dyDescent="0.2">
      <c r="A76">
        <f>ROW(Source!A45)</f>
        <v>45</v>
      </c>
      <c r="B76">
        <v>51866571</v>
      </c>
      <c r="C76">
        <v>51867074</v>
      </c>
      <c r="D76">
        <v>39129630</v>
      </c>
      <c r="E76">
        <v>1</v>
      </c>
      <c r="F76">
        <v>1</v>
      </c>
      <c r="G76">
        <v>1</v>
      </c>
      <c r="H76">
        <v>2</v>
      </c>
      <c r="I76" t="s">
        <v>1032</v>
      </c>
      <c r="J76" t="s">
        <v>1033</v>
      </c>
      <c r="K76" t="s">
        <v>1034</v>
      </c>
      <c r="L76">
        <v>1368</v>
      </c>
      <c r="N76">
        <v>1011</v>
      </c>
      <c r="O76" t="s">
        <v>1006</v>
      </c>
      <c r="P76" t="s">
        <v>1006</v>
      </c>
      <c r="Q76">
        <v>1</v>
      </c>
      <c r="W76">
        <v>1</v>
      </c>
      <c r="X76">
        <v>-671646184</v>
      </c>
      <c r="Y76">
        <v>0.23749999999999999</v>
      </c>
      <c r="AA76">
        <v>0</v>
      </c>
      <c r="AB76">
        <v>772.82</v>
      </c>
      <c r="AC76">
        <v>0</v>
      </c>
      <c r="AD76">
        <v>0</v>
      </c>
      <c r="AE76">
        <v>0</v>
      </c>
      <c r="AF76">
        <v>772.82</v>
      </c>
      <c r="AG76">
        <v>0</v>
      </c>
      <c r="AH76">
        <v>0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0</v>
      </c>
      <c r="AP76">
        <v>1</v>
      </c>
      <c r="AQ76">
        <v>1</v>
      </c>
      <c r="AR76">
        <v>0</v>
      </c>
      <c r="AT76">
        <v>0.19</v>
      </c>
      <c r="AU76" t="s">
        <v>820</v>
      </c>
      <c r="AV76">
        <v>0</v>
      </c>
      <c r="AW76">
        <v>2</v>
      </c>
      <c r="AX76">
        <v>51867084</v>
      </c>
      <c r="AY76">
        <v>2</v>
      </c>
      <c r="AZ76">
        <v>98304</v>
      </c>
      <c r="BA76">
        <v>81</v>
      </c>
      <c r="BB76">
        <v>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146.83580000000001</v>
      </c>
      <c r="BL76">
        <v>0</v>
      </c>
      <c r="BM76">
        <v>0</v>
      </c>
      <c r="BN76">
        <v>0</v>
      </c>
      <c r="BO76">
        <v>0</v>
      </c>
      <c r="BP76">
        <v>1</v>
      </c>
      <c r="BQ76">
        <v>0</v>
      </c>
      <c r="BR76">
        <v>183.54474999999999</v>
      </c>
      <c r="BS76">
        <v>0</v>
      </c>
      <c r="BT76">
        <v>0</v>
      </c>
      <c r="BU76">
        <v>0</v>
      </c>
      <c r="BV76">
        <v>0</v>
      </c>
      <c r="BW76">
        <v>1</v>
      </c>
      <c r="CX76">
        <f>Y76*Source!I45</f>
        <v>0.12445000000000001</v>
      </c>
      <c r="CY76">
        <f>AB76</f>
        <v>772.82</v>
      </c>
      <c r="CZ76">
        <f>AF76</f>
        <v>772.82</v>
      </c>
      <c r="DA76">
        <f>AJ76</f>
        <v>1</v>
      </c>
      <c r="DB76">
        <f>ROUND((ROUND(AT76*CZ76,2)*1.25),6)</f>
        <v>183.55</v>
      </c>
      <c r="DC76">
        <f>ROUND((ROUND(AT76*AG76,2)*1.25),6)</f>
        <v>0</v>
      </c>
    </row>
    <row r="77" spans="1:107" x14ac:dyDescent="0.2">
      <c r="A77">
        <f>ROW(Source!A45)</f>
        <v>45</v>
      </c>
      <c r="B77">
        <v>51866571</v>
      </c>
      <c r="C77">
        <v>51867074</v>
      </c>
      <c r="D77">
        <v>39055947</v>
      </c>
      <c r="E77">
        <v>1</v>
      </c>
      <c r="F77">
        <v>1</v>
      </c>
      <c r="G77">
        <v>1</v>
      </c>
      <c r="H77">
        <v>3</v>
      </c>
      <c r="I77" t="s">
        <v>1041</v>
      </c>
      <c r="J77" t="s">
        <v>1042</v>
      </c>
      <c r="K77" t="s">
        <v>1043</v>
      </c>
      <c r="L77">
        <v>1354</v>
      </c>
      <c r="N77">
        <v>1010</v>
      </c>
      <c r="O77" t="s">
        <v>527</v>
      </c>
      <c r="P77" t="s">
        <v>527</v>
      </c>
      <c r="Q77">
        <v>1</v>
      </c>
      <c r="W77">
        <v>0</v>
      </c>
      <c r="X77">
        <v>697798727</v>
      </c>
      <c r="Y77">
        <v>45.3</v>
      </c>
      <c r="AA77">
        <v>223.92</v>
      </c>
      <c r="AB77">
        <v>0</v>
      </c>
      <c r="AC77">
        <v>0</v>
      </c>
      <c r="AD77">
        <v>0</v>
      </c>
      <c r="AE77">
        <v>223.92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0</v>
      </c>
      <c r="AP77">
        <v>0</v>
      </c>
      <c r="AQ77">
        <v>1</v>
      </c>
      <c r="AR77">
        <v>0</v>
      </c>
      <c r="AT77">
        <v>45.3</v>
      </c>
      <c r="AV77">
        <v>0</v>
      </c>
      <c r="AW77">
        <v>2</v>
      </c>
      <c r="AX77">
        <v>51867085</v>
      </c>
      <c r="AY77">
        <v>1</v>
      </c>
      <c r="AZ77">
        <v>0</v>
      </c>
      <c r="BA77">
        <v>82</v>
      </c>
      <c r="BB77">
        <v>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10143.575999999999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1</v>
      </c>
      <c r="BQ77">
        <v>10143.575999999999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1</v>
      </c>
      <c r="CX77">
        <f>Y77*Source!I45</f>
        <v>23.737199999999998</v>
      </c>
      <c r="CY77">
        <f>AA77</f>
        <v>223.92</v>
      </c>
      <c r="CZ77">
        <f>AE77</f>
        <v>223.92</v>
      </c>
      <c r="DA77">
        <f>AI77</f>
        <v>1</v>
      </c>
      <c r="DB77">
        <f>ROUND(ROUND(AT77*CZ77,2),6)</f>
        <v>10143.58</v>
      </c>
      <c r="DC77">
        <f>ROUND(ROUND(AT77*AG77,2),6)</f>
        <v>0</v>
      </c>
    </row>
    <row r="78" spans="1:107" x14ac:dyDescent="0.2">
      <c r="A78">
        <f>ROW(Source!A45)</f>
        <v>45</v>
      </c>
      <c r="B78">
        <v>51866571</v>
      </c>
      <c r="C78">
        <v>51867074</v>
      </c>
      <c r="D78">
        <v>39062985</v>
      </c>
      <c r="E78">
        <v>1</v>
      </c>
      <c r="F78">
        <v>1</v>
      </c>
      <c r="G78">
        <v>1</v>
      </c>
      <c r="H78">
        <v>3</v>
      </c>
      <c r="I78" t="s">
        <v>1051</v>
      </c>
      <c r="J78" t="s">
        <v>1052</v>
      </c>
      <c r="K78" t="s">
        <v>1053</v>
      </c>
      <c r="L78">
        <v>1354</v>
      </c>
      <c r="N78">
        <v>1010</v>
      </c>
      <c r="O78" t="s">
        <v>527</v>
      </c>
      <c r="P78" t="s">
        <v>527</v>
      </c>
      <c r="Q78">
        <v>1</v>
      </c>
      <c r="W78">
        <v>0</v>
      </c>
      <c r="X78">
        <v>565283389</v>
      </c>
      <c r="Y78">
        <v>400</v>
      </c>
      <c r="AA78">
        <v>2.23</v>
      </c>
      <c r="AB78">
        <v>0</v>
      </c>
      <c r="AC78">
        <v>0</v>
      </c>
      <c r="AD78">
        <v>0</v>
      </c>
      <c r="AE78">
        <v>2.23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N78">
        <v>0</v>
      </c>
      <c r="AO78">
        <v>0</v>
      </c>
      <c r="AP78">
        <v>0</v>
      </c>
      <c r="AQ78">
        <v>1</v>
      </c>
      <c r="AR78">
        <v>0</v>
      </c>
      <c r="AT78">
        <v>400</v>
      </c>
      <c r="AV78">
        <v>0</v>
      </c>
      <c r="AW78">
        <v>2</v>
      </c>
      <c r="AX78">
        <v>51867087</v>
      </c>
      <c r="AY78">
        <v>1</v>
      </c>
      <c r="AZ78">
        <v>0</v>
      </c>
      <c r="BA78">
        <v>84</v>
      </c>
      <c r="BB78">
        <v>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892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1</v>
      </c>
      <c r="BQ78">
        <v>892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1</v>
      </c>
      <c r="CX78">
        <f>Y78*Source!I45</f>
        <v>209.60000000000002</v>
      </c>
      <c r="CY78">
        <f>AA78</f>
        <v>2.23</v>
      </c>
      <c r="CZ78">
        <f>AE78</f>
        <v>2.23</v>
      </c>
      <c r="DA78">
        <f>AI78</f>
        <v>1</v>
      </c>
      <c r="DB78">
        <f>ROUND(ROUND(AT78*CZ78,2),6)</f>
        <v>892</v>
      </c>
      <c r="DC78">
        <f>ROUND(ROUND(AT78*AG78,2),6)</f>
        <v>0</v>
      </c>
    </row>
    <row r="79" spans="1:107" x14ac:dyDescent="0.2">
      <c r="A79">
        <f>ROW(Source!A48)</f>
        <v>48</v>
      </c>
      <c r="B79">
        <v>51866573</v>
      </c>
      <c r="C79">
        <v>51867089</v>
      </c>
      <c r="D79">
        <v>23136905</v>
      </c>
      <c r="E79">
        <v>1</v>
      </c>
      <c r="F79">
        <v>1</v>
      </c>
      <c r="G79">
        <v>1</v>
      </c>
      <c r="H79">
        <v>1</v>
      </c>
      <c r="I79" t="s">
        <v>1056</v>
      </c>
      <c r="K79" t="s">
        <v>1057</v>
      </c>
      <c r="L79">
        <v>1369</v>
      </c>
      <c r="N79">
        <v>1013</v>
      </c>
      <c r="O79" t="s">
        <v>71</v>
      </c>
      <c r="P79" t="s">
        <v>71</v>
      </c>
      <c r="Q79">
        <v>1</v>
      </c>
      <c r="W79">
        <v>0</v>
      </c>
      <c r="X79">
        <v>1351218007</v>
      </c>
      <c r="Y79">
        <v>191.44049999999999</v>
      </c>
      <c r="AA79">
        <v>0</v>
      </c>
      <c r="AB79">
        <v>0</v>
      </c>
      <c r="AC79">
        <v>0</v>
      </c>
      <c r="AD79">
        <v>161.13</v>
      </c>
      <c r="AE79">
        <v>0</v>
      </c>
      <c r="AF79">
        <v>0</v>
      </c>
      <c r="AG79">
        <v>0</v>
      </c>
      <c r="AH79">
        <v>161.13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0</v>
      </c>
      <c r="AP79">
        <v>1</v>
      </c>
      <c r="AQ79">
        <v>1</v>
      </c>
      <c r="AR79">
        <v>0</v>
      </c>
      <c r="AT79">
        <v>166.47</v>
      </c>
      <c r="AU79" t="s">
        <v>821</v>
      </c>
      <c r="AV79">
        <v>1</v>
      </c>
      <c r="AW79">
        <v>2</v>
      </c>
      <c r="AX79">
        <v>51867098</v>
      </c>
      <c r="AY79">
        <v>1</v>
      </c>
      <c r="AZ79">
        <v>0</v>
      </c>
      <c r="BA79">
        <v>85</v>
      </c>
      <c r="BB79">
        <v>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26823.311099999999</v>
      </c>
      <c r="BN79">
        <v>166.47</v>
      </c>
      <c r="BO79">
        <v>0</v>
      </c>
      <c r="BP79">
        <v>1</v>
      </c>
      <c r="BQ79">
        <v>0</v>
      </c>
      <c r="BR79">
        <v>0</v>
      </c>
      <c r="BS79">
        <v>0</v>
      </c>
      <c r="BT79">
        <v>30846.807765000001</v>
      </c>
      <c r="BU79">
        <v>191.44049999999999</v>
      </c>
      <c r="BV79">
        <v>0</v>
      </c>
      <c r="BW79">
        <v>1</v>
      </c>
      <c r="CX79">
        <f>Y79*Source!I48</f>
        <v>156.11972774999998</v>
      </c>
      <c r="CY79">
        <f>AD79</f>
        <v>161.13</v>
      </c>
      <c r="CZ79">
        <f>AH79</f>
        <v>161.13</v>
      </c>
      <c r="DA79">
        <f>AL79</f>
        <v>1</v>
      </c>
      <c r="DB79">
        <f>ROUND((ROUND(AT79*CZ79,2)*1.15),6)</f>
        <v>30846.806499999999</v>
      </c>
      <c r="DC79">
        <f>ROUND((ROUND(AT79*AG79,2)*1.15),6)</f>
        <v>0</v>
      </c>
    </row>
    <row r="80" spans="1:107" x14ac:dyDescent="0.2">
      <c r="A80">
        <f>ROW(Source!A48)</f>
        <v>48</v>
      </c>
      <c r="B80">
        <v>51866573</v>
      </c>
      <c r="C80">
        <v>51867089</v>
      </c>
      <c r="D80">
        <v>121548</v>
      </c>
      <c r="E80">
        <v>1</v>
      </c>
      <c r="F80">
        <v>1</v>
      </c>
      <c r="G80">
        <v>1</v>
      </c>
      <c r="H80">
        <v>1</v>
      </c>
      <c r="I80" t="s">
        <v>96</v>
      </c>
      <c r="K80" t="s">
        <v>1001</v>
      </c>
      <c r="L80">
        <v>608254</v>
      </c>
      <c r="N80">
        <v>1013</v>
      </c>
      <c r="O80" t="s">
        <v>1002</v>
      </c>
      <c r="P80" t="s">
        <v>1002</v>
      </c>
      <c r="Q80">
        <v>1</v>
      </c>
      <c r="W80">
        <v>0</v>
      </c>
      <c r="X80">
        <v>-185737400</v>
      </c>
      <c r="Y80">
        <v>0.1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0</v>
      </c>
      <c r="AP80">
        <v>1</v>
      </c>
      <c r="AQ80">
        <v>1</v>
      </c>
      <c r="AR80">
        <v>0</v>
      </c>
      <c r="AT80">
        <v>0.08</v>
      </c>
      <c r="AU80" t="s">
        <v>820</v>
      </c>
      <c r="AV80">
        <v>2</v>
      </c>
      <c r="AW80">
        <v>2</v>
      </c>
      <c r="AX80">
        <v>51867099</v>
      </c>
      <c r="AY80">
        <v>1</v>
      </c>
      <c r="AZ80">
        <v>0</v>
      </c>
      <c r="BA80">
        <v>86</v>
      </c>
      <c r="BB80">
        <v>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0.08</v>
      </c>
      <c r="BP80">
        <v>1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0.1</v>
      </c>
      <c r="BW80">
        <v>1</v>
      </c>
      <c r="CX80">
        <f>Y80*Source!I48</f>
        <v>8.1550000000000011E-2</v>
      </c>
      <c r="CY80">
        <f>AD80</f>
        <v>0</v>
      </c>
      <c r="CZ80">
        <f>AH80</f>
        <v>0</v>
      </c>
      <c r="DA80">
        <f>AL80</f>
        <v>1</v>
      </c>
      <c r="DB80">
        <f>ROUND((ROUND(AT80*CZ80,2)*1.25),6)</f>
        <v>0</v>
      </c>
      <c r="DC80">
        <f>ROUND((ROUND(AT80*AG80,2)*1.25),6)</f>
        <v>0</v>
      </c>
    </row>
    <row r="81" spans="1:107" x14ac:dyDescent="0.2">
      <c r="A81">
        <f>ROW(Source!A48)</f>
        <v>48</v>
      </c>
      <c r="B81">
        <v>51866573</v>
      </c>
      <c r="C81">
        <v>51867089</v>
      </c>
      <c r="D81">
        <v>39127752</v>
      </c>
      <c r="E81">
        <v>1</v>
      </c>
      <c r="F81">
        <v>1</v>
      </c>
      <c r="G81">
        <v>1</v>
      </c>
      <c r="H81">
        <v>2</v>
      </c>
      <c r="I81" t="s">
        <v>1003</v>
      </c>
      <c r="J81" t="s">
        <v>1004</v>
      </c>
      <c r="K81" t="s">
        <v>1005</v>
      </c>
      <c r="L81">
        <v>1368</v>
      </c>
      <c r="N81">
        <v>1011</v>
      </c>
      <c r="O81" t="s">
        <v>1006</v>
      </c>
      <c r="P81" t="s">
        <v>1006</v>
      </c>
      <c r="Q81">
        <v>1</v>
      </c>
      <c r="W81">
        <v>0</v>
      </c>
      <c r="X81">
        <v>1753337916</v>
      </c>
      <c r="Y81">
        <v>0.1</v>
      </c>
      <c r="AA81">
        <v>0</v>
      </c>
      <c r="AB81">
        <v>299.41000000000003</v>
      </c>
      <c r="AC81">
        <v>229.54</v>
      </c>
      <c r="AD81">
        <v>0</v>
      </c>
      <c r="AE81">
        <v>0</v>
      </c>
      <c r="AF81">
        <v>299.41000000000003</v>
      </c>
      <c r="AG81">
        <v>229.54</v>
      </c>
      <c r="AH81">
        <v>0</v>
      </c>
      <c r="AI81">
        <v>1</v>
      </c>
      <c r="AJ81">
        <v>1</v>
      </c>
      <c r="AK81">
        <v>1</v>
      </c>
      <c r="AL81">
        <v>1</v>
      </c>
      <c r="AN81">
        <v>0</v>
      </c>
      <c r="AO81">
        <v>0</v>
      </c>
      <c r="AP81">
        <v>1</v>
      </c>
      <c r="AQ81">
        <v>1</v>
      </c>
      <c r="AR81">
        <v>0</v>
      </c>
      <c r="AT81">
        <v>0.08</v>
      </c>
      <c r="AU81" t="s">
        <v>820</v>
      </c>
      <c r="AV81">
        <v>0</v>
      </c>
      <c r="AW81">
        <v>2</v>
      </c>
      <c r="AX81">
        <v>51867100</v>
      </c>
      <c r="AY81">
        <v>1</v>
      </c>
      <c r="AZ81">
        <v>0</v>
      </c>
      <c r="BA81">
        <v>87</v>
      </c>
      <c r="BB81">
        <v>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23.9528</v>
      </c>
      <c r="BL81">
        <v>18.363199999999999</v>
      </c>
      <c r="BM81">
        <v>0</v>
      </c>
      <c r="BN81">
        <v>0</v>
      </c>
      <c r="BO81">
        <v>0</v>
      </c>
      <c r="BP81">
        <v>1</v>
      </c>
      <c r="BQ81">
        <v>0</v>
      </c>
      <c r="BR81">
        <v>29.940999999999999</v>
      </c>
      <c r="BS81">
        <v>22.954000000000001</v>
      </c>
      <c r="BT81">
        <v>0</v>
      </c>
      <c r="BU81">
        <v>0</v>
      </c>
      <c r="BV81">
        <v>0</v>
      </c>
      <c r="BW81">
        <v>1</v>
      </c>
      <c r="CX81">
        <f>Y81*Source!I48</f>
        <v>8.1550000000000011E-2</v>
      </c>
      <c r="CY81">
        <f>AB81</f>
        <v>299.41000000000003</v>
      </c>
      <c r="CZ81">
        <f>AF81</f>
        <v>299.41000000000003</v>
      </c>
      <c r="DA81">
        <f>AJ81</f>
        <v>1</v>
      </c>
      <c r="DB81">
        <f>ROUND((ROUND(AT81*CZ81,2)*1.25),6)</f>
        <v>29.9375</v>
      </c>
      <c r="DC81">
        <f>ROUND((ROUND(AT81*AG81,2)*1.25),6)</f>
        <v>22.95</v>
      </c>
    </row>
    <row r="82" spans="1:107" x14ac:dyDescent="0.2">
      <c r="A82">
        <f>ROW(Source!A48)</f>
        <v>48</v>
      </c>
      <c r="B82">
        <v>51866573</v>
      </c>
      <c r="C82">
        <v>51867089</v>
      </c>
      <c r="D82">
        <v>39129319</v>
      </c>
      <c r="E82">
        <v>1</v>
      </c>
      <c r="F82">
        <v>1</v>
      </c>
      <c r="G82">
        <v>1</v>
      </c>
      <c r="H82">
        <v>2</v>
      </c>
      <c r="I82" t="s">
        <v>1058</v>
      </c>
      <c r="J82" t="s">
        <v>1059</v>
      </c>
      <c r="K82" t="s">
        <v>1060</v>
      </c>
      <c r="L82">
        <v>1368</v>
      </c>
      <c r="N82">
        <v>1011</v>
      </c>
      <c r="O82" t="s">
        <v>1006</v>
      </c>
      <c r="P82" t="s">
        <v>1006</v>
      </c>
      <c r="Q82">
        <v>1</v>
      </c>
      <c r="W82">
        <v>0</v>
      </c>
      <c r="X82">
        <v>-250660111</v>
      </c>
      <c r="Y82">
        <v>0.32500000000000001</v>
      </c>
      <c r="AA82">
        <v>0</v>
      </c>
      <c r="AB82">
        <v>4.67</v>
      </c>
      <c r="AC82">
        <v>0</v>
      </c>
      <c r="AD82">
        <v>0</v>
      </c>
      <c r="AE82">
        <v>0</v>
      </c>
      <c r="AF82">
        <v>4.67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0</v>
      </c>
      <c r="AP82">
        <v>1</v>
      </c>
      <c r="AQ82">
        <v>1</v>
      </c>
      <c r="AR82">
        <v>0</v>
      </c>
      <c r="AT82">
        <v>0.26</v>
      </c>
      <c r="AU82" t="s">
        <v>820</v>
      </c>
      <c r="AV82">
        <v>0</v>
      </c>
      <c r="AW82">
        <v>2</v>
      </c>
      <c r="AX82">
        <v>51867101</v>
      </c>
      <c r="AY82">
        <v>1</v>
      </c>
      <c r="AZ82">
        <v>0</v>
      </c>
      <c r="BA82">
        <v>88</v>
      </c>
      <c r="BB82">
        <v>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1.2141999999999999</v>
      </c>
      <c r="BL82">
        <v>0</v>
      </c>
      <c r="BM82">
        <v>0</v>
      </c>
      <c r="BN82">
        <v>0</v>
      </c>
      <c r="BO82">
        <v>0</v>
      </c>
      <c r="BP82">
        <v>1</v>
      </c>
      <c r="BQ82">
        <v>0</v>
      </c>
      <c r="BR82">
        <v>1.5177499999999999</v>
      </c>
      <c r="BS82">
        <v>0</v>
      </c>
      <c r="BT82">
        <v>0</v>
      </c>
      <c r="BU82">
        <v>0</v>
      </c>
      <c r="BV82">
        <v>0</v>
      </c>
      <c r="BW82">
        <v>1</v>
      </c>
      <c r="CX82">
        <f>Y82*Source!I48</f>
        <v>0.26503750000000004</v>
      </c>
      <c r="CY82">
        <f>AB82</f>
        <v>4.67</v>
      </c>
      <c r="CZ82">
        <f>AF82</f>
        <v>4.67</v>
      </c>
      <c r="DA82">
        <f>AJ82</f>
        <v>1</v>
      </c>
      <c r="DB82">
        <f>ROUND((ROUND(AT82*CZ82,2)*1.25),6)</f>
        <v>1.5125</v>
      </c>
      <c r="DC82">
        <f>ROUND((ROUND(AT82*AG82,2)*1.25),6)</f>
        <v>0</v>
      </c>
    </row>
    <row r="83" spans="1:107" x14ac:dyDescent="0.2">
      <c r="A83">
        <f>ROW(Source!A48)</f>
        <v>48</v>
      </c>
      <c r="B83">
        <v>51866573</v>
      </c>
      <c r="C83">
        <v>51867089</v>
      </c>
      <c r="D83">
        <v>39129630</v>
      </c>
      <c r="E83">
        <v>1</v>
      </c>
      <c r="F83">
        <v>1</v>
      </c>
      <c r="G83">
        <v>1</v>
      </c>
      <c r="H83">
        <v>2</v>
      </c>
      <c r="I83" t="s">
        <v>1032</v>
      </c>
      <c r="J83" t="s">
        <v>1033</v>
      </c>
      <c r="K83" t="s">
        <v>1034</v>
      </c>
      <c r="L83">
        <v>1368</v>
      </c>
      <c r="N83">
        <v>1011</v>
      </c>
      <c r="O83" t="s">
        <v>1006</v>
      </c>
      <c r="P83" t="s">
        <v>1006</v>
      </c>
      <c r="Q83">
        <v>1</v>
      </c>
      <c r="W83">
        <v>0</v>
      </c>
      <c r="X83">
        <v>-671646184</v>
      </c>
      <c r="Y83">
        <v>0.625</v>
      </c>
      <c r="AA83">
        <v>0</v>
      </c>
      <c r="AB83">
        <v>772.82</v>
      </c>
      <c r="AC83">
        <v>0</v>
      </c>
      <c r="AD83">
        <v>0</v>
      </c>
      <c r="AE83">
        <v>0</v>
      </c>
      <c r="AF83">
        <v>772.82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0</v>
      </c>
      <c r="AP83">
        <v>1</v>
      </c>
      <c r="AQ83">
        <v>1</v>
      </c>
      <c r="AR83">
        <v>0</v>
      </c>
      <c r="AT83">
        <v>0.5</v>
      </c>
      <c r="AU83" t="s">
        <v>820</v>
      </c>
      <c r="AV83">
        <v>0</v>
      </c>
      <c r="AW83">
        <v>2</v>
      </c>
      <c r="AX83">
        <v>51867102</v>
      </c>
      <c r="AY83">
        <v>2</v>
      </c>
      <c r="AZ83">
        <v>65536</v>
      </c>
      <c r="BA83">
        <v>89</v>
      </c>
      <c r="BB83">
        <v>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386.41</v>
      </c>
      <c r="BL83">
        <v>0</v>
      </c>
      <c r="BM83">
        <v>0</v>
      </c>
      <c r="BN83">
        <v>0</v>
      </c>
      <c r="BO83">
        <v>0</v>
      </c>
      <c r="BP83">
        <v>1</v>
      </c>
      <c r="BQ83">
        <v>0</v>
      </c>
      <c r="BR83">
        <v>483.01249999999999</v>
      </c>
      <c r="BS83">
        <v>0</v>
      </c>
      <c r="BT83">
        <v>0</v>
      </c>
      <c r="BU83">
        <v>0</v>
      </c>
      <c r="BV83">
        <v>0</v>
      </c>
      <c r="BW83">
        <v>1</v>
      </c>
      <c r="CX83">
        <f>Y83*Source!I48</f>
        <v>0.50968749999999996</v>
      </c>
      <c r="CY83">
        <f>AB83</f>
        <v>772.82</v>
      </c>
      <c r="CZ83">
        <f>AF83</f>
        <v>772.82</v>
      </c>
      <c r="DA83">
        <f>AJ83</f>
        <v>1</v>
      </c>
      <c r="DB83">
        <f>ROUND((ROUND(AT83*CZ83,2)*1.25),6)</f>
        <v>483.01249999999999</v>
      </c>
      <c r="DC83">
        <f>ROUND((ROUND(AT83*AG83,2)*1.25),6)</f>
        <v>0</v>
      </c>
    </row>
    <row r="84" spans="1:107" x14ac:dyDescent="0.2">
      <c r="A84">
        <f>ROW(Source!A48)</f>
        <v>48</v>
      </c>
      <c r="B84">
        <v>51866573</v>
      </c>
      <c r="C84">
        <v>51867089</v>
      </c>
      <c r="D84">
        <v>39055169</v>
      </c>
      <c r="E84">
        <v>1</v>
      </c>
      <c r="F84">
        <v>1</v>
      </c>
      <c r="G84">
        <v>1</v>
      </c>
      <c r="H84">
        <v>3</v>
      </c>
      <c r="I84" t="s">
        <v>1061</v>
      </c>
      <c r="J84" t="s">
        <v>1062</v>
      </c>
      <c r="K84" t="s">
        <v>1063</v>
      </c>
      <c r="L84">
        <v>1346</v>
      </c>
      <c r="N84">
        <v>1009</v>
      </c>
      <c r="O84" t="s">
        <v>175</v>
      </c>
      <c r="P84" t="s">
        <v>175</v>
      </c>
      <c r="Q84">
        <v>1</v>
      </c>
      <c r="W84">
        <v>0</v>
      </c>
      <c r="X84">
        <v>844235703</v>
      </c>
      <c r="Y84">
        <v>0.2</v>
      </c>
      <c r="AA84">
        <v>25.18</v>
      </c>
      <c r="AB84">
        <v>0</v>
      </c>
      <c r="AC84">
        <v>0</v>
      </c>
      <c r="AD84">
        <v>0</v>
      </c>
      <c r="AE84">
        <v>25.18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0</v>
      </c>
      <c r="AP84">
        <v>0</v>
      </c>
      <c r="AQ84">
        <v>1</v>
      </c>
      <c r="AR84">
        <v>0</v>
      </c>
      <c r="AT84">
        <v>0.2</v>
      </c>
      <c r="AV84">
        <v>0</v>
      </c>
      <c r="AW84">
        <v>2</v>
      </c>
      <c r="AX84">
        <v>51867103</v>
      </c>
      <c r="AY84">
        <v>1</v>
      </c>
      <c r="AZ84">
        <v>0</v>
      </c>
      <c r="BA84">
        <v>90</v>
      </c>
      <c r="BB84">
        <v>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5.0359999999999996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1</v>
      </c>
      <c r="BQ84">
        <v>5.0359999999999996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1</v>
      </c>
      <c r="CX84">
        <f>Y84*Source!I48</f>
        <v>0.16310000000000002</v>
      </c>
      <c r="CY84">
        <f>AA84</f>
        <v>25.18</v>
      </c>
      <c r="CZ84">
        <f>AE84</f>
        <v>25.18</v>
      </c>
      <c r="DA84">
        <f>AI84</f>
        <v>1</v>
      </c>
      <c r="DB84">
        <f>ROUND(ROUND(AT84*CZ84,2),6)</f>
        <v>5.04</v>
      </c>
      <c r="DC84">
        <f>ROUND(ROUND(AT84*AG84,2),6)</f>
        <v>0</v>
      </c>
    </row>
    <row r="85" spans="1:107" x14ac:dyDescent="0.2">
      <c r="A85">
        <f>ROW(Source!A48)</f>
        <v>48</v>
      </c>
      <c r="B85">
        <v>51866573</v>
      </c>
      <c r="C85">
        <v>51867089</v>
      </c>
      <c r="D85">
        <v>39056763</v>
      </c>
      <c r="E85">
        <v>1</v>
      </c>
      <c r="F85">
        <v>1</v>
      </c>
      <c r="G85">
        <v>1</v>
      </c>
      <c r="H85">
        <v>3</v>
      </c>
      <c r="I85" t="s">
        <v>1064</v>
      </c>
      <c r="J85" t="s">
        <v>1065</v>
      </c>
      <c r="K85" t="s">
        <v>1066</v>
      </c>
      <c r="L85">
        <v>1346</v>
      </c>
      <c r="N85">
        <v>1009</v>
      </c>
      <c r="O85" t="s">
        <v>175</v>
      </c>
      <c r="P85" t="s">
        <v>175</v>
      </c>
      <c r="Q85">
        <v>1</v>
      </c>
      <c r="W85">
        <v>0</v>
      </c>
      <c r="X85">
        <v>1699861347</v>
      </c>
      <c r="Y85">
        <v>30</v>
      </c>
      <c r="AA85">
        <v>46.71</v>
      </c>
      <c r="AB85">
        <v>0</v>
      </c>
      <c r="AC85">
        <v>0</v>
      </c>
      <c r="AD85">
        <v>0</v>
      </c>
      <c r="AE85">
        <v>46.71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0</v>
      </c>
      <c r="AP85">
        <v>0</v>
      </c>
      <c r="AQ85">
        <v>1</v>
      </c>
      <c r="AR85">
        <v>0</v>
      </c>
      <c r="AT85">
        <v>30</v>
      </c>
      <c r="AV85">
        <v>0</v>
      </c>
      <c r="AW85">
        <v>2</v>
      </c>
      <c r="AX85">
        <v>51867105</v>
      </c>
      <c r="AY85">
        <v>1</v>
      </c>
      <c r="AZ85">
        <v>0</v>
      </c>
      <c r="BA85">
        <v>92</v>
      </c>
      <c r="BB85">
        <v>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1401.3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1</v>
      </c>
      <c r="BQ85">
        <v>1401.3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1</v>
      </c>
      <c r="CX85">
        <f>Y85*Source!I48</f>
        <v>24.465</v>
      </c>
      <c r="CY85">
        <f>AA85</f>
        <v>46.71</v>
      </c>
      <c r="CZ85">
        <f>AE85</f>
        <v>46.71</v>
      </c>
      <c r="DA85">
        <f>AI85</f>
        <v>1</v>
      </c>
      <c r="DB85">
        <f>ROUND(ROUND(AT85*CZ85,2),6)</f>
        <v>1401.3</v>
      </c>
      <c r="DC85">
        <f>ROUND(ROUND(AT85*AG85,2),6)</f>
        <v>0</v>
      </c>
    </row>
    <row r="86" spans="1:107" x14ac:dyDescent="0.2">
      <c r="A86">
        <f>ROW(Source!A48)</f>
        <v>48</v>
      </c>
      <c r="B86">
        <v>51866573</v>
      </c>
      <c r="C86">
        <v>51867089</v>
      </c>
      <c r="D86">
        <v>39056703</v>
      </c>
      <c r="E86">
        <v>1</v>
      </c>
      <c r="F86">
        <v>1</v>
      </c>
      <c r="G86">
        <v>1</v>
      </c>
      <c r="H86">
        <v>3</v>
      </c>
      <c r="I86" t="s">
        <v>1067</v>
      </c>
      <c r="J86" t="s">
        <v>1068</v>
      </c>
      <c r="K86" t="s">
        <v>1069</v>
      </c>
      <c r="L86">
        <v>1348</v>
      </c>
      <c r="N86">
        <v>1009</v>
      </c>
      <c r="O86" t="s">
        <v>99</v>
      </c>
      <c r="P86" t="s">
        <v>99</v>
      </c>
      <c r="Q86">
        <v>1000</v>
      </c>
      <c r="W86">
        <v>0</v>
      </c>
      <c r="X86">
        <v>592267411</v>
      </c>
      <c r="Y86">
        <v>8.8999999999999999E-3</v>
      </c>
      <c r="AA86">
        <v>25913.49</v>
      </c>
      <c r="AB86">
        <v>0</v>
      </c>
      <c r="AC86">
        <v>0</v>
      </c>
      <c r="AD86">
        <v>0</v>
      </c>
      <c r="AE86">
        <v>25913.49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0</v>
      </c>
      <c r="AP86">
        <v>0</v>
      </c>
      <c r="AQ86">
        <v>1</v>
      </c>
      <c r="AR86">
        <v>0</v>
      </c>
      <c r="AT86">
        <v>8.8999999999999999E-3</v>
      </c>
      <c r="AV86">
        <v>0</v>
      </c>
      <c r="AW86">
        <v>2</v>
      </c>
      <c r="AX86">
        <v>51867106</v>
      </c>
      <c r="AY86">
        <v>1</v>
      </c>
      <c r="AZ86">
        <v>0</v>
      </c>
      <c r="BA86">
        <v>93</v>
      </c>
      <c r="BB86">
        <v>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230.63006100000001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1</v>
      </c>
      <c r="BQ86">
        <v>230.63006100000001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1</v>
      </c>
      <c r="CX86">
        <f>Y86*Source!I48</f>
        <v>7.25795E-3</v>
      </c>
      <c r="CY86">
        <f>AA86</f>
        <v>25913.49</v>
      </c>
      <c r="CZ86">
        <f>AE86</f>
        <v>25913.49</v>
      </c>
      <c r="DA86">
        <f>AI86</f>
        <v>1</v>
      </c>
      <c r="DB86">
        <f>ROUND(ROUND(AT86*CZ86,2),6)</f>
        <v>230.63</v>
      </c>
      <c r="DC86">
        <f>ROUND(ROUND(AT86*AG86,2),6)</f>
        <v>0</v>
      </c>
    </row>
    <row r="87" spans="1:107" x14ac:dyDescent="0.2">
      <c r="A87">
        <f>ROW(Source!A49)</f>
        <v>49</v>
      </c>
      <c r="B87">
        <v>51866571</v>
      </c>
      <c r="C87">
        <v>51867089</v>
      </c>
      <c r="D87">
        <v>23136905</v>
      </c>
      <c r="E87">
        <v>1</v>
      </c>
      <c r="F87">
        <v>1</v>
      </c>
      <c r="G87">
        <v>1</v>
      </c>
      <c r="H87">
        <v>1</v>
      </c>
      <c r="I87" t="s">
        <v>1056</v>
      </c>
      <c r="K87" t="s">
        <v>1057</v>
      </c>
      <c r="L87">
        <v>1369</v>
      </c>
      <c r="N87">
        <v>1013</v>
      </c>
      <c r="O87" t="s">
        <v>71</v>
      </c>
      <c r="P87" t="s">
        <v>71</v>
      </c>
      <c r="Q87">
        <v>1</v>
      </c>
      <c r="W87">
        <v>0</v>
      </c>
      <c r="X87">
        <v>1351218007</v>
      </c>
      <c r="Y87">
        <v>191.44049999999999</v>
      </c>
      <c r="AA87">
        <v>0</v>
      </c>
      <c r="AB87">
        <v>0</v>
      </c>
      <c r="AC87">
        <v>0</v>
      </c>
      <c r="AD87">
        <v>169.42</v>
      </c>
      <c r="AE87">
        <v>0</v>
      </c>
      <c r="AF87">
        <v>0</v>
      </c>
      <c r="AG87">
        <v>0</v>
      </c>
      <c r="AH87">
        <v>169.42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0</v>
      </c>
      <c r="AP87">
        <v>1</v>
      </c>
      <c r="AQ87">
        <v>1</v>
      </c>
      <c r="AR87">
        <v>0</v>
      </c>
      <c r="AT87">
        <v>166.47</v>
      </c>
      <c r="AU87" t="s">
        <v>821</v>
      </c>
      <c r="AV87">
        <v>1</v>
      </c>
      <c r="AW87">
        <v>2</v>
      </c>
      <c r="AX87">
        <v>51867098</v>
      </c>
      <c r="AY87">
        <v>1</v>
      </c>
      <c r="AZ87">
        <v>131072</v>
      </c>
      <c r="BA87">
        <v>94</v>
      </c>
      <c r="BB87">
        <v>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28203.347399999999</v>
      </c>
      <c r="BN87">
        <v>166.47</v>
      </c>
      <c r="BO87">
        <v>0</v>
      </c>
      <c r="BP87">
        <v>1</v>
      </c>
      <c r="BQ87">
        <v>0</v>
      </c>
      <c r="BR87">
        <v>0</v>
      </c>
      <c r="BS87">
        <v>0</v>
      </c>
      <c r="BT87">
        <v>32433.84951</v>
      </c>
      <c r="BU87">
        <v>191.44049999999999</v>
      </c>
      <c r="BV87">
        <v>0</v>
      </c>
      <c r="BW87">
        <v>1</v>
      </c>
      <c r="CX87">
        <f>Y87*Source!I49</f>
        <v>156.11972774999998</v>
      </c>
      <c r="CY87">
        <f>AD87</f>
        <v>169.42</v>
      </c>
      <c r="CZ87">
        <f>AH87</f>
        <v>169.42</v>
      </c>
      <c r="DA87">
        <f>AL87</f>
        <v>1</v>
      </c>
      <c r="DB87">
        <f>ROUND((ROUND(AT87*CZ87,2)*1.15),6)</f>
        <v>32433.852500000001</v>
      </c>
      <c r="DC87">
        <f>ROUND((ROUND(AT87*AG87,2)*1.15),6)</f>
        <v>0</v>
      </c>
    </row>
    <row r="88" spans="1:107" x14ac:dyDescent="0.2">
      <c r="A88">
        <f>ROW(Source!A49)</f>
        <v>49</v>
      </c>
      <c r="B88">
        <v>51866571</v>
      </c>
      <c r="C88">
        <v>51867089</v>
      </c>
      <c r="D88">
        <v>121548</v>
      </c>
      <c r="E88">
        <v>1</v>
      </c>
      <c r="F88">
        <v>1</v>
      </c>
      <c r="G88">
        <v>1</v>
      </c>
      <c r="H88">
        <v>1</v>
      </c>
      <c r="I88" t="s">
        <v>96</v>
      </c>
      <c r="K88" t="s">
        <v>1001</v>
      </c>
      <c r="L88">
        <v>608254</v>
      </c>
      <c r="N88">
        <v>1013</v>
      </c>
      <c r="O88" t="s">
        <v>1002</v>
      </c>
      <c r="P88" t="s">
        <v>1002</v>
      </c>
      <c r="Q88">
        <v>1</v>
      </c>
      <c r="W88">
        <v>0</v>
      </c>
      <c r="X88">
        <v>-185737400</v>
      </c>
      <c r="Y88">
        <v>0.1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0</v>
      </c>
      <c r="AP88">
        <v>1</v>
      </c>
      <c r="AQ88">
        <v>1</v>
      </c>
      <c r="AR88">
        <v>0</v>
      </c>
      <c r="AT88">
        <v>0.08</v>
      </c>
      <c r="AU88" t="s">
        <v>820</v>
      </c>
      <c r="AV88">
        <v>2</v>
      </c>
      <c r="AW88">
        <v>2</v>
      </c>
      <c r="AX88">
        <v>51867099</v>
      </c>
      <c r="AY88">
        <v>1</v>
      </c>
      <c r="AZ88">
        <v>0</v>
      </c>
      <c r="BA88">
        <v>95</v>
      </c>
      <c r="BB88">
        <v>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0.08</v>
      </c>
      <c r="BP88">
        <v>1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0.1</v>
      </c>
      <c r="BW88">
        <v>1</v>
      </c>
      <c r="CX88">
        <f>Y88*Source!I49</f>
        <v>8.1550000000000011E-2</v>
      </c>
      <c r="CY88">
        <f>AD88</f>
        <v>0</v>
      </c>
      <c r="CZ88">
        <f>AH88</f>
        <v>0</v>
      </c>
      <c r="DA88">
        <f>AL88</f>
        <v>1</v>
      </c>
      <c r="DB88">
        <f>ROUND((ROUND(AT88*CZ88,2)*1.25),6)</f>
        <v>0</v>
      </c>
      <c r="DC88">
        <f>ROUND((ROUND(AT88*AG88,2)*1.25),6)</f>
        <v>0</v>
      </c>
    </row>
    <row r="89" spans="1:107" x14ac:dyDescent="0.2">
      <c r="A89">
        <f>ROW(Source!A49)</f>
        <v>49</v>
      </c>
      <c r="B89">
        <v>51866571</v>
      </c>
      <c r="C89">
        <v>51867089</v>
      </c>
      <c r="D89">
        <v>39127752</v>
      </c>
      <c r="E89">
        <v>1</v>
      </c>
      <c r="F89">
        <v>1</v>
      </c>
      <c r="G89">
        <v>1</v>
      </c>
      <c r="H89">
        <v>2</v>
      </c>
      <c r="I89" t="s">
        <v>1003</v>
      </c>
      <c r="J89" t="s">
        <v>1004</v>
      </c>
      <c r="K89" t="s">
        <v>1005</v>
      </c>
      <c r="L89">
        <v>1368</v>
      </c>
      <c r="N89">
        <v>1011</v>
      </c>
      <c r="O89" t="s">
        <v>1006</v>
      </c>
      <c r="P89" t="s">
        <v>1006</v>
      </c>
      <c r="Q89">
        <v>1</v>
      </c>
      <c r="W89">
        <v>0</v>
      </c>
      <c r="X89">
        <v>1753337916</v>
      </c>
      <c r="Y89">
        <v>0.1</v>
      </c>
      <c r="AA89">
        <v>0</v>
      </c>
      <c r="AB89">
        <v>308.94</v>
      </c>
      <c r="AC89">
        <v>239.1</v>
      </c>
      <c r="AD89">
        <v>0</v>
      </c>
      <c r="AE89">
        <v>0</v>
      </c>
      <c r="AF89">
        <v>308.94</v>
      </c>
      <c r="AG89">
        <v>239.1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0</v>
      </c>
      <c r="AP89">
        <v>1</v>
      </c>
      <c r="AQ89">
        <v>1</v>
      </c>
      <c r="AR89">
        <v>0</v>
      </c>
      <c r="AT89">
        <v>0.08</v>
      </c>
      <c r="AU89" t="s">
        <v>820</v>
      </c>
      <c r="AV89">
        <v>0</v>
      </c>
      <c r="AW89">
        <v>2</v>
      </c>
      <c r="AX89">
        <v>51867100</v>
      </c>
      <c r="AY89">
        <v>1</v>
      </c>
      <c r="AZ89">
        <v>0</v>
      </c>
      <c r="BA89">
        <v>96</v>
      </c>
      <c r="BB89">
        <v>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24.715199999999999</v>
      </c>
      <c r="BL89">
        <v>19.128</v>
      </c>
      <c r="BM89">
        <v>0</v>
      </c>
      <c r="BN89">
        <v>0</v>
      </c>
      <c r="BO89">
        <v>0</v>
      </c>
      <c r="BP89">
        <v>1</v>
      </c>
      <c r="BQ89">
        <v>0</v>
      </c>
      <c r="BR89">
        <v>30.893999999999998</v>
      </c>
      <c r="BS89">
        <v>23.91</v>
      </c>
      <c r="BT89">
        <v>0</v>
      </c>
      <c r="BU89">
        <v>0</v>
      </c>
      <c r="BV89">
        <v>0</v>
      </c>
      <c r="BW89">
        <v>1</v>
      </c>
      <c r="CX89">
        <f>Y89*Source!I49</f>
        <v>8.1550000000000011E-2</v>
      </c>
      <c r="CY89">
        <f>AB89</f>
        <v>308.94</v>
      </c>
      <c r="CZ89">
        <f>AF89</f>
        <v>308.94</v>
      </c>
      <c r="DA89">
        <f>AJ89</f>
        <v>1</v>
      </c>
      <c r="DB89">
        <f>ROUND((ROUND(AT89*CZ89,2)*1.25),6)</f>
        <v>30.9</v>
      </c>
      <c r="DC89">
        <f>ROUND((ROUND(AT89*AG89,2)*1.25),6)</f>
        <v>23.912500000000001</v>
      </c>
    </row>
    <row r="90" spans="1:107" x14ac:dyDescent="0.2">
      <c r="A90">
        <f>ROW(Source!A49)</f>
        <v>49</v>
      </c>
      <c r="B90">
        <v>51866571</v>
      </c>
      <c r="C90">
        <v>51867089</v>
      </c>
      <c r="D90">
        <v>39129319</v>
      </c>
      <c r="E90">
        <v>1</v>
      </c>
      <c r="F90">
        <v>1</v>
      </c>
      <c r="G90">
        <v>1</v>
      </c>
      <c r="H90">
        <v>2</v>
      </c>
      <c r="I90" t="s">
        <v>1058</v>
      </c>
      <c r="J90" t="s">
        <v>1059</v>
      </c>
      <c r="K90" t="s">
        <v>1060</v>
      </c>
      <c r="L90">
        <v>1368</v>
      </c>
      <c r="N90">
        <v>1011</v>
      </c>
      <c r="O90" t="s">
        <v>1006</v>
      </c>
      <c r="P90" t="s">
        <v>1006</v>
      </c>
      <c r="Q90">
        <v>1</v>
      </c>
      <c r="W90">
        <v>0</v>
      </c>
      <c r="X90">
        <v>-250660111</v>
      </c>
      <c r="Y90">
        <v>0.32500000000000001</v>
      </c>
      <c r="AA90">
        <v>0</v>
      </c>
      <c r="AB90">
        <v>4.76</v>
      </c>
      <c r="AC90">
        <v>0</v>
      </c>
      <c r="AD90">
        <v>0</v>
      </c>
      <c r="AE90">
        <v>0</v>
      </c>
      <c r="AF90">
        <v>4.76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0</v>
      </c>
      <c r="AP90">
        <v>1</v>
      </c>
      <c r="AQ90">
        <v>1</v>
      </c>
      <c r="AR90">
        <v>0</v>
      </c>
      <c r="AT90">
        <v>0.26</v>
      </c>
      <c r="AU90" t="s">
        <v>820</v>
      </c>
      <c r="AV90">
        <v>0</v>
      </c>
      <c r="AW90">
        <v>2</v>
      </c>
      <c r="AX90">
        <v>51867101</v>
      </c>
      <c r="AY90">
        <v>1</v>
      </c>
      <c r="AZ90">
        <v>0</v>
      </c>
      <c r="BA90">
        <v>97</v>
      </c>
      <c r="BB90">
        <v>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1.2376</v>
      </c>
      <c r="BL90">
        <v>0</v>
      </c>
      <c r="BM90">
        <v>0</v>
      </c>
      <c r="BN90">
        <v>0</v>
      </c>
      <c r="BO90">
        <v>0</v>
      </c>
      <c r="BP90">
        <v>1</v>
      </c>
      <c r="BQ90">
        <v>0</v>
      </c>
      <c r="BR90">
        <v>1.5469999999999999</v>
      </c>
      <c r="BS90">
        <v>0</v>
      </c>
      <c r="BT90">
        <v>0</v>
      </c>
      <c r="BU90">
        <v>0</v>
      </c>
      <c r="BV90">
        <v>0</v>
      </c>
      <c r="BW90">
        <v>1</v>
      </c>
      <c r="CX90">
        <f>Y90*Source!I49</f>
        <v>0.26503750000000004</v>
      </c>
      <c r="CY90">
        <f>AB90</f>
        <v>4.76</v>
      </c>
      <c r="CZ90">
        <f>AF90</f>
        <v>4.76</v>
      </c>
      <c r="DA90">
        <f>AJ90</f>
        <v>1</v>
      </c>
      <c r="DB90">
        <f>ROUND((ROUND(AT90*CZ90,2)*1.25),6)</f>
        <v>1.55</v>
      </c>
      <c r="DC90">
        <f>ROUND((ROUND(AT90*AG90,2)*1.25),6)</f>
        <v>0</v>
      </c>
    </row>
    <row r="91" spans="1:107" x14ac:dyDescent="0.2">
      <c r="A91">
        <f>ROW(Source!A49)</f>
        <v>49</v>
      </c>
      <c r="B91">
        <v>51866571</v>
      </c>
      <c r="C91">
        <v>51867089</v>
      </c>
      <c r="D91">
        <v>39129630</v>
      </c>
      <c r="E91">
        <v>1</v>
      </c>
      <c r="F91">
        <v>1</v>
      </c>
      <c r="G91">
        <v>1</v>
      </c>
      <c r="H91">
        <v>2</v>
      </c>
      <c r="I91" t="s">
        <v>1032</v>
      </c>
      <c r="J91" t="s">
        <v>1033</v>
      </c>
      <c r="K91" t="s">
        <v>1034</v>
      </c>
      <c r="L91">
        <v>1368</v>
      </c>
      <c r="N91">
        <v>1011</v>
      </c>
      <c r="O91" t="s">
        <v>1006</v>
      </c>
      <c r="P91" t="s">
        <v>1006</v>
      </c>
      <c r="Q91">
        <v>1</v>
      </c>
      <c r="W91">
        <v>0</v>
      </c>
      <c r="X91">
        <v>-671646184</v>
      </c>
      <c r="Y91">
        <v>0.625</v>
      </c>
      <c r="AA91">
        <v>0</v>
      </c>
      <c r="AB91">
        <v>772.82</v>
      </c>
      <c r="AC91">
        <v>0</v>
      </c>
      <c r="AD91">
        <v>0</v>
      </c>
      <c r="AE91">
        <v>0</v>
      </c>
      <c r="AF91">
        <v>772.82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0</v>
      </c>
      <c r="AP91">
        <v>1</v>
      </c>
      <c r="AQ91">
        <v>1</v>
      </c>
      <c r="AR91">
        <v>0</v>
      </c>
      <c r="AT91">
        <v>0.5</v>
      </c>
      <c r="AU91" t="s">
        <v>820</v>
      </c>
      <c r="AV91">
        <v>0</v>
      </c>
      <c r="AW91">
        <v>2</v>
      </c>
      <c r="AX91">
        <v>51867102</v>
      </c>
      <c r="AY91">
        <v>2</v>
      </c>
      <c r="AZ91">
        <v>98304</v>
      </c>
      <c r="BA91">
        <v>98</v>
      </c>
      <c r="BB91">
        <v>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386.41</v>
      </c>
      <c r="BL91">
        <v>0</v>
      </c>
      <c r="BM91">
        <v>0</v>
      </c>
      <c r="BN91">
        <v>0</v>
      </c>
      <c r="BO91">
        <v>0</v>
      </c>
      <c r="BP91">
        <v>1</v>
      </c>
      <c r="BQ91">
        <v>0</v>
      </c>
      <c r="BR91">
        <v>483.01249999999999</v>
      </c>
      <c r="BS91">
        <v>0</v>
      </c>
      <c r="BT91">
        <v>0</v>
      </c>
      <c r="BU91">
        <v>0</v>
      </c>
      <c r="BV91">
        <v>0</v>
      </c>
      <c r="BW91">
        <v>1</v>
      </c>
      <c r="CX91">
        <f>Y91*Source!I49</f>
        <v>0.50968749999999996</v>
      </c>
      <c r="CY91">
        <f>AB91</f>
        <v>772.82</v>
      </c>
      <c r="CZ91">
        <f>AF91</f>
        <v>772.82</v>
      </c>
      <c r="DA91">
        <f>AJ91</f>
        <v>1</v>
      </c>
      <c r="DB91">
        <f>ROUND((ROUND(AT91*CZ91,2)*1.25),6)</f>
        <v>483.01249999999999</v>
      </c>
      <c r="DC91">
        <f>ROUND((ROUND(AT91*AG91,2)*1.25),6)</f>
        <v>0</v>
      </c>
    </row>
    <row r="92" spans="1:107" x14ac:dyDescent="0.2">
      <c r="A92">
        <f>ROW(Source!A49)</f>
        <v>49</v>
      </c>
      <c r="B92">
        <v>51866571</v>
      </c>
      <c r="C92">
        <v>51867089</v>
      </c>
      <c r="D92">
        <v>39055169</v>
      </c>
      <c r="E92">
        <v>1</v>
      </c>
      <c r="F92">
        <v>1</v>
      </c>
      <c r="G92">
        <v>1</v>
      </c>
      <c r="H92">
        <v>3</v>
      </c>
      <c r="I92" t="s">
        <v>1061</v>
      </c>
      <c r="J92" t="s">
        <v>1062</v>
      </c>
      <c r="K92" t="s">
        <v>1063</v>
      </c>
      <c r="L92">
        <v>1346</v>
      </c>
      <c r="N92">
        <v>1009</v>
      </c>
      <c r="O92" t="s">
        <v>175</v>
      </c>
      <c r="P92" t="s">
        <v>175</v>
      </c>
      <c r="Q92">
        <v>1</v>
      </c>
      <c r="W92">
        <v>0</v>
      </c>
      <c r="X92">
        <v>844235703</v>
      </c>
      <c r="Y92">
        <v>0.2</v>
      </c>
      <c r="AA92">
        <v>25.19</v>
      </c>
      <c r="AB92">
        <v>0</v>
      </c>
      <c r="AC92">
        <v>0</v>
      </c>
      <c r="AD92">
        <v>0</v>
      </c>
      <c r="AE92">
        <v>25.19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0</v>
      </c>
      <c r="AP92">
        <v>0</v>
      </c>
      <c r="AQ92">
        <v>1</v>
      </c>
      <c r="AR92">
        <v>0</v>
      </c>
      <c r="AT92">
        <v>0.2</v>
      </c>
      <c r="AV92">
        <v>0</v>
      </c>
      <c r="AW92">
        <v>2</v>
      </c>
      <c r="AX92">
        <v>51867103</v>
      </c>
      <c r="AY92">
        <v>1</v>
      </c>
      <c r="AZ92">
        <v>0</v>
      </c>
      <c r="BA92">
        <v>99</v>
      </c>
      <c r="BB92">
        <v>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5.0380000000000003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1</v>
      </c>
      <c r="BQ92">
        <v>5.0380000000000003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1</v>
      </c>
      <c r="CX92">
        <f>Y92*Source!I49</f>
        <v>0.16310000000000002</v>
      </c>
      <c r="CY92">
        <f>AA92</f>
        <v>25.19</v>
      </c>
      <c r="CZ92">
        <f>AE92</f>
        <v>25.19</v>
      </c>
      <c r="DA92">
        <f>AI92</f>
        <v>1</v>
      </c>
      <c r="DB92">
        <f>ROUND(ROUND(AT92*CZ92,2),6)</f>
        <v>5.04</v>
      </c>
      <c r="DC92">
        <f>ROUND(ROUND(AT92*AG92,2),6)</f>
        <v>0</v>
      </c>
    </row>
    <row r="93" spans="1:107" x14ac:dyDescent="0.2">
      <c r="A93">
        <f>ROW(Source!A49)</f>
        <v>49</v>
      </c>
      <c r="B93">
        <v>51866571</v>
      </c>
      <c r="C93">
        <v>51867089</v>
      </c>
      <c r="D93">
        <v>39056763</v>
      </c>
      <c r="E93">
        <v>1</v>
      </c>
      <c r="F93">
        <v>1</v>
      </c>
      <c r="G93">
        <v>1</v>
      </c>
      <c r="H93">
        <v>3</v>
      </c>
      <c r="I93" t="s">
        <v>1064</v>
      </c>
      <c r="J93" t="s">
        <v>1065</v>
      </c>
      <c r="K93" t="s">
        <v>1066</v>
      </c>
      <c r="L93">
        <v>1346</v>
      </c>
      <c r="N93">
        <v>1009</v>
      </c>
      <c r="O93" t="s">
        <v>175</v>
      </c>
      <c r="P93" t="s">
        <v>175</v>
      </c>
      <c r="Q93">
        <v>1</v>
      </c>
      <c r="W93">
        <v>0</v>
      </c>
      <c r="X93">
        <v>1699861347</v>
      </c>
      <c r="Y93">
        <v>30</v>
      </c>
      <c r="AA93">
        <v>48.67</v>
      </c>
      <c r="AB93">
        <v>0</v>
      </c>
      <c r="AC93">
        <v>0</v>
      </c>
      <c r="AD93">
        <v>0</v>
      </c>
      <c r="AE93">
        <v>48.67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0</v>
      </c>
      <c r="AP93">
        <v>0</v>
      </c>
      <c r="AQ93">
        <v>1</v>
      </c>
      <c r="AR93">
        <v>0</v>
      </c>
      <c r="AT93">
        <v>30</v>
      </c>
      <c r="AV93">
        <v>0</v>
      </c>
      <c r="AW93">
        <v>2</v>
      </c>
      <c r="AX93">
        <v>51867105</v>
      </c>
      <c r="AY93">
        <v>1</v>
      </c>
      <c r="AZ93">
        <v>0</v>
      </c>
      <c r="BA93">
        <v>101</v>
      </c>
      <c r="BB93">
        <v>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1460.1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1</v>
      </c>
      <c r="BQ93">
        <v>1460.1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</v>
      </c>
      <c r="CX93">
        <f>Y93*Source!I49</f>
        <v>24.465</v>
      </c>
      <c r="CY93">
        <f>AA93</f>
        <v>48.67</v>
      </c>
      <c r="CZ93">
        <f>AE93</f>
        <v>48.67</v>
      </c>
      <c r="DA93">
        <f>AI93</f>
        <v>1</v>
      </c>
      <c r="DB93">
        <f>ROUND(ROUND(AT93*CZ93,2),6)</f>
        <v>1460.1</v>
      </c>
      <c r="DC93">
        <f>ROUND(ROUND(AT93*AG93,2),6)</f>
        <v>0</v>
      </c>
    </row>
    <row r="94" spans="1:107" x14ac:dyDescent="0.2">
      <c r="A94">
        <f>ROW(Source!A49)</f>
        <v>49</v>
      </c>
      <c r="B94">
        <v>51866571</v>
      </c>
      <c r="C94">
        <v>51867089</v>
      </c>
      <c r="D94">
        <v>39056703</v>
      </c>
      <c r="E94">
        <v>1</v>
      </c>
      <c r="F94">
        <v>1</v>
      </c>
      <c r="G94">
        <v>1</v>
      </c>
      <c r="H94">
        <v>3</v>
      </c>
      <c r="I94" t="s">
        <v>1067</v>
      </c>
      <c r="J94" t="s">
        <v>1068</v>
      </c>
      <c r="K94" t="s">
        <v>1069</v>
      </c>
      <c r="L94">
        <v>1348</v>
      </c>
      <c r="N94">
        <v>1009</v>
      </c>
      <c r="O94" t="s">
        <v>99</v>
      </c>
      <c r="P94" t="s">
        <v>99</v>
      </c>
      <c r="Q94">
        <v>1000</v>
      </c>
      <c r="W94">
        <v>0</v>
      </c>
      <c r="X94">
        <v>592267411</v>
      </c>
      <c r="Y94">
        <v>8.8999999999999999E-3</v>
      </c>
      <c r="AA94">
        <v>25933.63</v>
      </c>
      <c r="AB94">
        <v>0</v>
      </c>
      <c r="AC94">
        <v>0</v>
      </c>
      <c r="AD94">
        <v>0</v>
      </c>
      <c r="AE94">
        <v>25933.63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0</v>
      </c>
      <c r="AP94">
        <v>0</v>
      </c>
      <c r="AQ94">
        <v>1</v>
      </c>
      <c r="AR94">
        <v>0</v>
      </c>
      <c r="AT94">
        <v>8.8999999999999999E-3</v>
      </c>
      <c r="AV94">
        <v>0</v>
      </c>
      <c r="AW94">
        <v>2</v>
      </c>
      <c r="AX94">
        <v>51867106</v>
      </c>
      <c r="AY94">
        <v>1</v>
      </c>
      <c r="AZ94">
        <v>0</v>
      </c>
      <c r="BA94">
        <v>102</v>
      </c>
      <c r="BB94">
        <v>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230.80930699999999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1</v>
      </c>
      <c r="BQ94">
        <v>230.80930699999999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1</v>
      </c>
      <c r="CX94">
        <f>Y94*Source!I49</f>
        <v>7.25795E-3</v>
      </c>
      <c r="CY94">
        <f>AA94</f>
        <v>25933.63</v>
      </c>
      <c r="CZ94">
        <f>AE94</f>
        <v>25933.63</v>
      </c>
      <c r="DA94">
        <f>AI94</f>
        <v>1</v>
      </c>
      <c r="DB94">
        <f>ROUND(ROUND(AT94*CZ94,2),6)</f>
        <v>230.81</v>
      </c>
      <c r="DC94">
        <f>ROUND(ROUND(AT94*AG94,2),6)</f>
        <v>0</v>
      </c>
    </row>
    <row r="95" spans="1:107" x14ac:dyDescent="0.2">
      <c r="A95">
        <f>ROW(Source!A54)</f>
        <v>54</v>
      </c>
      <c r="B95">
        <v>51866573</v>
      </c>
      <c r="C95">
        <v>51867109</v>
      </c>
      <c r="D95">
        <v>23129805</v>
      </c>
      <c r="E95">
        <v>1</v>
      </c>
      <c r="F95">
        <v>1</v>
      </c>
      <c r="G95">
        <v>1</v>
      </c>
      <c r="H95">
        <v>1</v>
      </c>
      <c r="I95" t="s">
        <v>1054</v>
      </c>
      <c r="K95" t="s">
        <v>1055</v>
      </c>
      <c r="L95">
        <v>1369</v>
      </c>
      <c r="N95">
        <v>1013</v>
      </c>
      <c r="O95" t="s">
        <v>71</v>
      </c>
      <c r="P95" t="s">
        <v>71</v>
      </c>
      <c r="Q95">
        <v>1</v>
      </c>
      <c r="W95">
        <v>0</v>
      </c>
      <c r="X95">
        <v>756115135</v>
      </c>
      <c r="Y95">
        <v>7.7050000000000001</v>
      </c>
      <c r="AA95">
        <v>0</v>
      </c>
      <c r="AB95">
        <v>0</v>
      </c>
      <c r="AC95">
        <v>0</v>
      </c>
      <c r="AD95">
        <v>7.97</v>
      </c>
      <c r="AE95">
        <v>0</v>
      </c>
      <c r="AF95">
        <v>0</v>
      </c>
      <c r="AG95">
        <v>0</v>
      </c>
      <c r="AH95">
        <v>7.97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0</v>
      </c>
      <c r="AP95">
        <v>1</v>
      </c>
      <c r="AQ95">
        <v>1</v>
      </c>
      <c r="AR95">
        <v>0</v>
      </c>
      <c r="AT95">
        <v>6.7</v>
      </c>
      <c r="AU95" t="s">
        <v>821</v>
      </c>
      <c r="AV95">
        <v>1</v>
      </c>
      <c r="AW95">
        <v>2</v>
      </c>
      <c r="AX95">
        <v>51867113</v>
      </c>
      <c r="AY95">
        <v>1</v>
      </c>
      <c r="AZ95">
        <v>0</v>
      </c>
      <c r="BA95">
        <v>103</v>
      </c>
      <c r="BB95">
        <v>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53.399000000000001</v>
      </c>
      <c r="BN95">
        <v>6.7</v>
      </c>
      <c r="BO95">
        <v>0</v>
      </c>
      <c r="BP95">
        <v>1</v>
      </c>
      <c r="BQ95">
        <v>0</v>
      </c>
      <c r="BR95">
        <v>0</v>
      </c>
      <c r="BS95">
        <v>0</v>
      </c>
      <c r="BT95">
        <v>61.408850000000001</v>
      </c>
      <c r="BU95">
        <v>7.7050000000000001</v>
      </c>
      <c r="BV95">
        <v>0</v>
      </c>
      <c r="BW95">
        <v>1</v>
      </c>
      <c r="CX95">
        <f>Y95*Source!I54</f>
        <v>25.133710000000001</v>
      </c>
      <c r="CY95">
        <f>AD95</f>
        <v>7.97</v>
      </c>
      <c r="CZ95">
        <f>AH95</f>
        <v>7.97</v>
      </c>
      <c r="DA95">
        <f>AL95</f>
        <v>1</v>
      </c>
      <c r="DB95">
        <f>ROUND((ROUND(AT95*CZ95,2)*1.15),6)</f>
        <v>61.41</v>
      </c>
      <c r="DC95">
        <f>ROUND((ROUND(AT95*AG95,2)*1.15),6)</f>
        <v>0</v>
      </c>
    </row>
    <row r="96" spans="1:107" x14ac:dyDescent="0.2">
      <c r="A96">
        <f>ROW(Source!A54)</f>
        <v>54</v>
      </c>
      <c r="B96">
        <v>51866573</v>
      </c>
      <c r="C96">
        <v>51867109</v>
      </c>
      <c r="D96">
        <v>39057039</v>
      </c>
      <c r="E96">
        <v>1</v>
      </c>
      <c r="F96">
        <v>1</v>
      </c>
      <c r="G96">
        <v>1</v>
      </c>
      <c r="H96">
        <v>3</v>
      </c>
      <c r="I96" t="s">
        <v>1070</v>
      </c>
      <c r="J96" t="s">
        <v>1071</v>
      </c>
      <c r="K96" t="s">
        <v>1072</v>
      </c>
      <c r="L96">
        <v>2233</v>
      </c>
      <c r="N96">
        <v>1013</v>
      </c>
      <c r="O96" t="s">
        <v>180</v>
      </c>
      <c r="P96" t="s">
        <v>180</v>
      </c>
      <c r="Q96">
        <v>1</v>
      </c>
      <c r="W96">
        <v>0</v>
      </c>
      <c r="X96">
        <v>539393320</v>
      </c>
      <c r="Y96">
        <v>100</v>
      </c>
      <c r="AA96">
        <v>3.03</v>
      </c>
      <c r="AB96">
        <v>0</v>
      </c>
      <c r="AC96">
        <v>0</v>
      </c>
      <c r="AD96">
        <v>0</v>
      </c>
      <c r="AE96">
        <v>3.03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0</v>
      </c>
      <c r="AP96">
        <v>0</v>
      </c>
      <c r="AQ96">
        <v>1</v>
      </c>
      <c r="AR96">
        <v>0</v>
      </c>
      <c r="AT96">
        <v>100</v>
      </c>
      <c r="AV96">
        <v>0</v>
      </c>
      <c r="AW96">
        <v>2</v>
      </c>
      <c r="AX96">
        <v>51867114</v>
      </c>
      <c r="AY96">
        <v>1</v>
      </c>
      <c r="AZ96">
        <v>0</v>
      </c>
      <c r="BA96">
        <v>104</v>
      </c>
      <c r="BB96">
        <v>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303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1</v>
      </c>
      <c r="BQ96">
        <v>303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1</v>
      </c>
      <c r="CX96">
        <f>Y96*Source!I54</f>
        <v>326.2</v>
      </c>
      <c r="CY96">
        <f>AA96</f>
        <v>3.03</v>
      </c>
      <c r="CZ96">
        <f>AE96</f>
        <v>3.03</v>
      </c>
      <c r="DA96">
        <f>AI96</f>
        <v>1</v>
      </c>
      <c r="DB96">
        <f>ROUND(ROUND(AT96*CZ96,2),6)</f>
        <v>303</v>
      </c>
      <c r="DC96">
        <f>ROUND(ROUND(AT96*AG96,2),6)</f>
        <v>0</v>
      </c>
    </row>
    <row r="97" spans="1:107" x14ac:dyDescent="0.2">
      <c r="A97">
        <f>ROW(Source!A54)</f>
        <v>54</v>
      </c>
      <c r="B97">
        <v>51866573</v>
      </c>
      <c r="C97">
        <v>51867109</v>
      </c>
      <c r="D97">
        <v>39070082</v>
      </c>
      <c r="E97">
        <v>1</v>
      </c>
      <c r="F97">
        <v>1</v>
      </c>
      <c r="G97">
        <v>1</v>
      </c>
      <c r="H97">
        <v>3</v>
      </c>
      <c r="I97" t="s">
        <v>1073</v>
      </c>
      <c r="J97" t="s">
        <v>1074</v>
      </c>
      <c r="K97" t="s">
        <v>1075</v>
      </c>
      <c r="L97">
        <v>1346</v>
      </c>
      <c r="N97">
        <v>1009</v>
      </c>
      <c r="O97" t="s">
        <v>175</v>
      </c>
      <c r="P97" t="s">
        <v>175</v>
      </c>
      <c r="Q97">
        <v>1</v>
      </c>
      <c r="W97">
        <v>0</v>
      </c>
      <c r="X97">
        <v>-1998093785</v>
      </c>
      <c r="Y97">
        <v>0.8</v>
      </c>
      <c r="AA97">
        <v>45</v>
      </c>
      <c r="AB97">
        <v>0</v>
      </c>
      <c r="AC97">
        <v>0</v>
      </c>
      <c r="AD97">
        <v>0</v>
      </c>
      <c r="AE97">
        <v>45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0</v>
      </c>
      <c r="AP97">
        <v>0</v>
      </c>
      <c r="AQ97">
        <v>1</v>
      </c>
      <c r="AR97">
        <v>0</v>
      </c>
      <c r="AT97">
        <v>0.8</v>
      </c>
      <c r="AV97">
        <v>0</v>
      </c>
      <c r="AW97">
        <v>2</v>
      </c>
      <c r="AX97">
        <v>51867115</v>
      </c>
      <c r="AY97">
        <v>1</v>
      </c>
      <c r="AZ97">
        <v>0</v>
      </c>
      <c r="BA97">
        <v>105</v>
      </c>
      <c r="BB97">
        <v>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36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1</v>
      </c>
      <c r="BQ97">
        <v>36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1</v>
      </c>
      <c r="CX97">
        <f>Y97*Source!I54</f>
        <v>2.6096000000000004</v>
      </c>
      <c r="CY97">
        <f>AA97</f>
        <v>45</v>
      </c>
      <c r="CZ97">
        <f>AE97</f>
        <v>45</v>
      </c>
      <c r="DA97">
        <f>AI97</f>
        <v>1</v>
      </c>
      <c r="DB97">
        <f>ROUND(ROUND(AT97*CZ97,2),6)</f>
        <v>36</v>
      </c>
      <c r="DC97">
        <f>ROUND(ROUND(AT97*AG97,2),6)</f>
        <v>0</v>
      </c>
    </row>
    <row r="98" spans="1:107" x14ac:dyDescent="0.2">
      <c r="A98">
        <f>ROW(Source!A55)</f>
        <v>55</v>
      </c>
      <c r="B98">
        <v>51866571</v>
      </c>
      <c r="C98">
        <v>51867109</v>
      </c>
      <c r="D98">
        <v>23129805</v>
      </c>
      <c r="E98">
        <v>1</v>
      </c>
      <c r="F98">
        <v>1</v>
      </c>
      <c r="G98">
        <v>1</v>
      </c>
      <c r="H98">
        <v>1</v>
      </c>
      <c r="I98" t="s">
        <v>1054</v>
      </c>
      <c r="K98" t="s">
        <v>1055</v>
      </c>
      <c r="L98">
        <v>1369</v>
      </c>
      <c r="N98">
        <v>1013</v>
      </c>
      <c r="O98" t="s">
        <v>71</v>
      </c>
      <c r="P98" t="s">
        <v>71</v>
      </c>
      <c r="Q98">
        <v>1</v>
      </c>
      <c r="W98">
        <v>0</v>
      </c>
      <c r="X98">
        <v>756115135</v>
      </c>
      <c r="Y98">
        <v>7.7050000000000001</v>
      </c>
      <c r="AA98">
        <v>0</v>
      </c>
      <c r="AB98">
        <v>0</v>
      </c>
      <c r="AC98">
        <v>0</v>
      </c>
      <c r="AD98">
        <v>157.76</v>
      </c>
      <c r="AE98">
        <v>0</v>
      </c>
      <c r="AF98">
        <v>0</v>
      </c>
      <c r="AG98">
        <v>0</v>
      </c>
      <c r="AH98">
        <v>157.76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0</v>
      </c>
      <c r="AP98">
        <v>1</v>
      </c>
      <c r="AQ98">
        <v>1</v>
      </c>
      <c r="AR98">
        <v>0</v>
      </c>
      <c r="AT98">
        <v>6.7</v>
      </c>
      <c r="AU98" t="s">
        <v>821</v>
      </c>
      <c r="AV98">
        <v>1</v>
      </c>
      <c r="AW98">
        <v>2</v>
      </c>
      <c r="AX98">
        <v>51867113</v>
      </c>
      <c r="AY98">
        <v>1</v>
      </c>
      <c r="AZ98">
        <v>131072</v>
      </c>
      <c r="BA98">
        <v>106</v>
      </c>
      <c r="BB98">
        <v>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1056.992</v>
      </c>
      <c r="BN98">
        <v>6.7</v>
      </c>
      <c r="BO98">
        <v>0</v>
      </c>
      <c r="BP98">
        <v>1</v>
      </c>
      <c r="BQ98">
        <v>0</v>
      </c>
      <c r="BR98">
        <v>0</v>
      </c>
      <c r="BS98">
        <v>0</v>
      </c>
      <c r="BT98">
        <v>1215.5408</v>
      </c>
      <c r="BU98">
        <v>7.7050000000000001</v>
      </c>
      <c r="BV98">
        <v>0</v>
      </c>
      <c r="BW98">
        <v>1</v>
      </c>
      <c r="CX98">
        <f>Y98*Source!I55</f>
        <v>25.133710000000001</v>
      </c>
      <c r="CY98">
        <f>AD98</f>
        <v>157.76</v>
      </c>
      <c r="CZ98">
        <f>AH98</f>
        <v>157.76</v>
      </c>
      <c r="DA98">
        <f>AL98</f>
        <v>1</v>
      </c>
      <c r="DB98">
        <f>ROUND((ROUND(AT98*CZ98,2)*1.15),6)</f>
        <v>1215.5385000000001</v>
      </c>
      <c r="DC98">
        <f>ROUND((ROUND(AT98*AG98,2)*1.15),6)</f>
        <v>0</v>
      </c>
    </row>
    <row r="99" spans="1:107" x14ac:dyDescent="0.2">
      <c r="A99">
        <f>ROW(Source!A55)</f>
        <v>55</v>
      </c>
      <c r="B99">
        <v>51866571</v>
      </c>
      <c r="C99">
        <v>51867109</v>
      </c>
      <c r="D99">
        <v>39057039</v>
      </c>
      <c r="E99">
        <v>1</v>
      </c>
      <c r="F99">
        <v>1</v>
      </c>
      <c r="G99">
        <v>1</v>
      </c>
      <c r="H99">
        <v>3</v>
      </c>
      <c r="I99" t="s">
        <v>1070</v>
      </c>
      <c r="J99" t="s">
        <v>1071</v>
      </c>
      <c r="K99" t="s">
        <v>1072</v>
      </c>
      <c r="L99">
        <v>2233</v>
      </c>
      <c r="N99">
        <v>1013</v>
      </c>
      <c r="O99" t="s">
        <v>180</v>
      </c>
      <c r="P99" t="s">
        <v>180</v>
      </c>
      <c r="Q99">
        <v>1</v>
      </c>
      <c r="W99">
        <v>0</v>
      </c>
      <c r="X99">
        <v>539393320</v>
      </c>
      <c r="Y99">
        <v>100</v>
      </c>
      <c r="AA99">
        <v>7.64</v>
      </c>
      <c r="AB99">
        <v>0</v>
      </c>
      <c r="AC99">
        <v>0</v>
      </c>
      <c r="AD99">
        <v>0</v>
      </c>
      <c r="AE99">
        <v>7.64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0</v>
      </c>
      <c r="AP99">
        <v>0</v>
      </c>
      <c r="AQ99">
        <v>1</v>
      </c>
      <c r="AR99">
        <v>0</v>
      </c>
      <c r="AT99">
        <v>100</v>
      </c>
      <c r="AV99">
        <v>0</v>
      </c>
      <c r="AW99">
        <v>2</v>
      </c>
      <c r="AX99">
        <v>51867114</v>
      </c>
      <c r="AY99">
        <v>1</v>
      </c>
      <c r="AZ99">
        <v>0</v>
      </c>
      <c r="BA99">
        <v>107</v>
      </c>
      <c r="BB99">
        <v>1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764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1</v>
      </c>
      <c r="BQ99">
        <v>764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1</v>
      </c>
      <c r="CX99">
        <f>Y99*Source!I55</f>
        <v>326.2</v>
      </c>
      <c r="CY99">
        <f>AA99</f>
        <v>7.64</v>
      </c>
      <c r="CZ99">
        <f>AE99</f>
        <v>7.64</v>
      </c>
      <c r="DA99">
        <f>AI99</f>
        <v>1</v>
      </c>
      <c r="DB99">
        <f>ROUND(ROUND(AT99*CZ99,2),6)</f>
        <v>764</v>
      </c>
      <c r="DC99">
        <f>ROUND(ROUND(AT99*AG99,2),6)</f>
        <v>0</v>
      </c>
    </row>
    <row r="100" spans="1:107" x14ac:dyDescent="0.2">
      <c r="A100">
        <f>ROW(Source!A55)</f>
        <v>55</v>
      </c>
      <c r="B100">
        <v>51866571</v>
      </c>
      <c r="C100">
        <v>51867109</v>
      </c>
      <c r="D100">
        <v>39070082</v>
      </c>
      <c r="E100">
        <v>1</v>
      </c>
      <c r="F100">
        <v>1</v>
      </c>
      <c r="G100">
        <v>1</v>
      </c>
      <c r="H100">
        <v>3</v>
      </c>
      <c r="I100" t="s">
        <v>1073</v>
      </c>
      <c r="J100" t="s">
        <v>1074</v>
      </c>
      <c r="K100" t="s">
        <v>1075</v>
      </c>
      <c r="L100">
        <v>1346</v>
      </c>
      <c r="N100">
        <v>1009</v>
      </c>
      <c r="O100" t="s">
        <v>175</v>
      </c>
      <c r="P100" t="s">
        <v>175</v>
      </c>
      <c r="Q100">
        <v>1</v>
      </c>
      <c r="W100">
        <v>0</v>
      </c>
      <c r="X100">
        <v>-1998093785</v>
      </c>
      <c r="Y100">
        <v>0.8</v>
      </c>
      <c r="AA100">
        <v>201.45</v>
      </c>
      <c r="AB100">
        <v>0</v>
      </c>
      <c r="AC100">
        <v>0</v>
      </c>
      <c r="AD100">
        <v>0</v>
      </c>
      <c r="AE100">
        <v>201.45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0</v>
      </c>
      <c r="AP100">
        <v>0</v>
      </c>
      <c r="AQ100">
        <v>1</v>
      </c>
      <c r="AR100">
        <v>0</v>
      </c>
      <c r="AT100">
        <v>0.8</v>
      </c>
      <c r="AV100">
        <v>0</v>
      </c>
      <c r="AW100">
        <v>2</v>
      </c>
      <c r="AX100">
        <v>51867115</v>
      </c>
      <c r="AY100">
        <v>1</v>
      </c>
      <c r="AZ100">
        <v>0</v>
      </c>
      <c r="BA100">
        <v>108</v>
      </c>
      <c r="BB100">
        <v>1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161.16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1</v>
      </c>
      <c r="BQ100">
        <v>161.16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1</v>
      </c>
      <c r="CX100">
        <f>Y100*Source!I55</f>
        <v>2.6096000000000004</v>
      </c>
      <c r="CY100">
        <f>AA100</f>
        <v>201.45</v>
      </c>
      <c r="CZ100">
        <f>AE100</f>
        <v>201.45</v>
      </c>
      <c r="DA100">
        <f>AI100</f>
        <v>1</v>
      </c>
      <c r="DB100">
        <f>ROUND(ROUND(AT100*CZ100,2),6)</f>
        <v>161.16</v>
      </c>
      <c r="DC100">
        <f>ROUND(ROUND(AT100*AG100,2),6)</f>
        <v>0</v>
      </c>
    </row>
    <row r="101" spans="1:107" x14ac:dyDescent="0.2">
      <c r="A101">
        <f>ROW(Source!A56)</f>
        <v>56</v>
      </c>
      <c r="B101">
        <v>51866573</v>
      </c>
      <c r="C101">
        <v>51867116</v>
      </c>
      <c r="D101">
        <v>23129805</v>
      </c>
      <c r="E101">
        <v>1</v>
      </c>
      <c r="F101">
        <v>1</v>
      </c>
      <c r="G101">
        <v>1</v>
      </c>
      <c r="H101">
        <v>1</v>
      </c>
      <c r="I101" t="s">
        <v>1054</v>
      </c>
      <c r="K101" t="s">
        <v>1055</v>
      </c>
      <c r="L101">
        <v>1369</v>
      </c>
      <c r="N101">
        <v>1013</v>
      </c>
      <c r="O101" t="s">
        <v>71</v>
      </c>
      <c r="P101" t="s">
        <v>71</v>
      </c>
      <c r="Q101">
        <v>1</v>
      </c>
      <c r="W101">
        <v>0</v>
      </c>
      <c r="X101">
        <v>756115135</v>
      </c>
      <c r="Y101">
        <v>129.66249999999999</v>
      </c>
      <c r="AA101">
        <v>0</v>
      </c>
      <c r="AB101">
        <v>0</v>
      </c>
      <c r="AC101">
        <v>0</v>
      </c>
      <c r="AD101">
        <v>149.68</v>
      </c>
      <c r="AE101">
        <v>0</v>
      </c>
      <c r="AF101">
        <v>0</v>
      </c>
      <c r="AG101">
        <v>0</v>
      </c>
      <c r="AH101">
        <v>149.68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0</v>
      </c>
      <c r="AP101">
        <v>1</v>
      </c>
      <c r="AQ101">
        <v>1</v>
      </c>
      <c r="AR101">
        <v>0</v>
      </c>
      <c r="AT101">
        <v>112.75</v>
      </c>
      <c r="AU101" t="s">
        <v>821</v>
      </c>
      <c r="AV101">
        <v>1</v>
      </c>
      <c r="AW101">
        <v>2</v>
      </c>
      <c r="AX101">
        <v>51867123</v>
      </c>
      <c r="AY101">
        <v>1</v>
      </c>
      <c r="AZ101">
        <v>0</v>
      </c>
      <c r="BA101">
        <v>109</v>
      </c>
      <c r="BB101">
        <v>1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16876.419999999998</v>
      </c>
      <c r="BN101">
        <v>112.75</v>
      </c>
      <c r="BO101">
        <v>0</v>
      </c>
      <c r="BP101">
        <v>1</v>
      </c>
      <c r="BQ101">
        <v>0</v>
      </c>
      <c r="BR101">
        <v>0</v>
      </c>
      <c r="BS101">
        <v>0</v>
      </c>
      <c r="BT101">
        <v>19407.883000000002</v>
      </c>
      <c r="BU101">
        <v>129.66249999999999</v>
      </c>
      <c r="BV101">
        <v>0</v>
      </c>
      <c r="BW101">
        <v>1</v>
      </c>
      <c r="CX101">
        <f>Y101*Source!I56</f>
        <v>20.382944999999999</v>
      </c>
      <c r="CY101">
        <f>AD101</f>
        <v>149.68</v>
      </c>
      <c r="CZ101">
        <f>AH101</f>
        <v>149.68</v>
      </c>
      <c r="DA101">
        <f>AL101</f>
        <v>1</v>
      </c>
      <c r="DB101">
        <f>ROUND((ROUND(AT101*CZ101,2)*1.15),6)</f>
        <v>19407.883000000002</v>
      </c>
      <c r="DC101">
        <f>ROUND((ROUND(AT101*AG101,2)*1.15),6)</f>
        <v>0</v>
      </c>
    </row>
    <row r="102" spans="1:107" x14ac:dyDescent="0.2">
      <c r="A102">
        <f>ROW(Source!A56)</f>
        <v>56</v>
      </c>
      <c r="B102">
        <v>51866573</v>
      </c>
      <c r="C102">
        <v>51867116</v>
      </c>
      <c r="D102">
        <v>121548</v>
      </c>
      <c r="E102">
        <v>1</v>
      </c>
      <c r="F102">
        <v>1</v>
      </c>
      <c r="G102">
        <v>1</v>
      </c>
      <c r="H102">
        <v>1</v>
      </c>
      <c r="I102" t="s">
        <v>96</v>
      </c>
      <c r="K102" t="s">
        <v>1001</v>
      </c>
      <c r="L102">
        <v>608254</v>
      </c>
      <c r="N102">
        <v>1013</v>
      </c>
      <c r="O102" t="s">
        <v>1002</v>
      </c>
      <c r="P102" t="s">
        <v>1002</v>
      </c>
      <c r="Q102">
        <v>1</v>
      </c>
      <c r="W102">
        <v>0</v>
      </c>
      <c r="X102">
        <v>-185737400</v>
      </c>
      <c r="Y102">
        <v>0.25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0</v>
      </c>
      <c r="AP102">
        <v>1</v>
      </c>
      <c r="AQ102">
        <v>1</v>
      </c>
      <c r="AR102">
        <v>0</v>
      </c>
      <c r="AT102">
        <v>0.2</v>
      </c>
      <c r="AU102" t="s">
        <v>820</v>
      </c>
      <c r="AV102">
        <v>2</v>
      </c>
      <c r="AW102">
        <v>2</v>
      </c>
      <c r="AX102">
        <v>51867124</v>
      </c>
      <c r="AY102">
        <v>1</v>
      </c>
      <c r="AZ102">
        <v>0</v>
      </c>
      <c r="BA102">
        <v>110</v>
      </c>
      <c r="BB102">
        <v>1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0.2</v>
      </c>
      <c r="BP102">
        <v>1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0.25</v>
      </c>
      <c r="BW102">
        <v>1</v>
      </c>
      <c r="CX102">
        <f>Y102*Source!I56</f>
        <v>3.9300000000000002E-2</v>
      </c>
      <c r="CY102">
        <f>AD102</f>
        <v>0</v>
      </c>
      <c r="CZ102">
        <f>AH102</f>
        <v>0</v>
      </c>
      <c r="DA102">
        <f>AL102</f>
        <v>1</v>
      </c>
      <c r="DB102">
        <f>ROUND((ROUND(AT102*CZ102,2)*1.25),6)</f>
        <v>0</v>
      </c>
      <c r="DC102">
        <f>ROUND((ROUND(AT102*AG102,2)*1.25),6)</f>
        <v>0</v>
      </c>
    </row>
    <row r="103" spans="1:107" x14ac:dyDescent="0.2">
      <c r="A103">
        <f>ROW(Source!A56)</f>
        <v>56</v>
      </c>
      <c r="B103">
        <v>51866573</v>
      </c>
      <c r="C103">
        <v>51867116</v>
      </c>
      <c r="D103">
        <v>39127533</v>
      </c>
      <c r="E103">
        <v>1</v>
      </c>
      <c r="F103">
        <v>1</v>
      </c>
      <c r="G103">
        <v>1</v>
      </c>
      <c r="H103">
        <v>2</v>
      </c>
      <c r="I103" t="s">
        <v>1076</v>
      </c>
      <c r="J103" t="s">
        <v>1077</v>
      </c>
      <c r="K103" t="s">
        <v>1078</v>
      </c>
      <c r="L103">
        <v>1368</v>
      </c>
      <c r="N103">
        <v>1011</v>
      </c>
      <c r="O103" t="s">
        <v>1006</v>
      </c>
      <c r="P103" t="s">
        <v>1006</v>
      </c>
      <c r="Q103">
        <v>1</v>
      </c>
      <c r="W103">
        <v>0</v>
      </c>
      <c r="X103">
        <v>1604115853</v>
      </c>
      <c r="Y103">
        <v>0.25</v>
      </c>
      <c r="AA103">
        <v>0</v>
      </c>
      <c r="AB103">
        <v>662.58</v>
      </c>
      <c r="AC103">
        <v>229.54</v>
      </c>
      <c r="AD103">
        <v>0</v>
      </c>
      <c r="AE103">
        <v>0</v>
      </c>
      <c r="AF103">
        <v>662.58</v>
      </c>
      <c r="AG103">
        <v>229.54</v>
      </c>
      <c r="AH103">
        <v>0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0</v>
      </c>
      <c r="AP103">
        <v>1</v>
      </c>
      <c r="AQ103">
        <v>1</v>
      </c>
      <c r="AR103">
        <v>0</v>
      </c>
      <c r="AT103">
        <v>0.2</v>
      </c>
      <c r="AU103" t="s">
        <v>820</v>
      </c>
      <c r="AV103">
        <v>0</v>
      </c>
      <c r="AW103">
        <v>2</v>
      </c>
      <c r="AX103">
        <v>51867125</v>
      </c>
      <c r="AY103">
        <v>1</v>
      </c>
      <c r="AZ103">
        <v>0</v>
      </c>
      <c r="BA103">
        <v>111</v>
      </c>
      <c r="BB103">
        <v>1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132.51599999999999</v>
      </c>
      <c r="BL103">
        <v>45.908000000000001</v>
      </c>
      <c r="BM103">
        <v>0</v>
      </c>
      <c r="BN103">
        <v>0</v>
      </c>
      <c r="BO103">
        <v>0</v>
      </c>
      <c r="BP103">
        <v>1</v>
      </c>
      <c r="BQ103">
        <v>0</v>
      </c>
      <c r="BR103">
        <v>165.64500000000001</v>
      </c>
      <c r="BS103">
        <v>57.384999999999998</v>
      </c>
      <c r="BT103">
        <v>0</v>
      </c>
      <c r="BU103">
        <v>0</v>
      </c>
      <c r="BV103">
        <v>0</v>
      </c>
      <c r="BW103">
        <v>1</v>
      </c>
      <c r="CX103">
        <f>Y103*Source!I56</f>
        <v>3.9300000000000002E-2</v>
      </c>
      <c r="CY103">
        <f>AB103</f>
        <v>662.58</v>
      </c>
      <c r="CZ103">
        <f>AF103</f>
        <v>662.58</v>
      </c>
      <c r="DA103">
        <f>AJ103</f>
        <v>1</v>
      </c>
      <c r="DB103">
        <f>ROUND((ROUND(AT103*CZ103,2)*1.25),6)</f>
        <v>165.65</v>
      </c>
      <c r="DC103">
        <f>ROUND((ROUND(AT103*AG103,2)*1.25),6)</f>
        <v>57.387500000000003</v>
      </c>
    </row>
    <row r="104" spans="1:107" x14ac:dyDescent="0.2">
      <c r="A104">
        <f>ROW(Source!A56)</f>
        <v>56</v>
      </c>
      <c r="B104">
        <v>51866573</v>
      </c>
      <c r="C104">
        <v>51867116</v>
      </c>
      <c r="D104">
        <v>39129630</v>
      </c>
      <c r="E104">
        <v>1</v>
      </c>
      <c r="F104">
        <v>1</v>
      </c>
      <c r="G104">
        <v>1</v>
      </c>
      <c r="H104">
        <v>2</v>
      </c>
      <c r="I104" t="s">
        <v>1032</v>
      </c>
      <c r="J104" t="s">
        <v>1033</v>
      </c>
      <c r="K104" t="s">
        <v>1034</v>
      </c>
      <c r="L104">
        <v>1368</v>
      </c>
      <c r="N104">
        <v>1011</v>
      </c>
      <c r="O104" t="s">
        <v>1006</v>
      </c>
      <c r="P104" t="s">
        <v>1006</v>
      </c>
      <c r="Q104">
        <v>1</v>
      </c>
      <c r="W104">
        <v>0</v>
      </c>
      <c r="X104">
        <v>-671646184</v>
      </c>
      <c r="Y104">
        <v>8.7499999999999994E-2</v>
      </c>
      <c r="AA104">
        <v>0</v>
      </c>
      <c r="AB104">
        <v>772.82</v>
      </c>
      <c r="AC104">
        <v>196.34</v>
      </c>
      <c r="AD104">
        <v>0</v>
      </c>
      <c r="AE104">
        <v>0</v>
      </c>
      <c r="AF104">
        <v>772.82</v>
      </c>
      <c r="AG104">
        <v>196.34</v>
      </c>
      <c r="AH104">
        <v>0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0</v>
      </c>
      <c r="AP104">
        <v>1</v>
      </c>
      <c r="AQ104">
        <v>1</v>
      </c>
      <c r="AR104">
        <v>0</v>
      </c>
      <c r="AT104">
        <v>7.0000000000000007E-2</v>
      </c>
      <c r="AU104" t="s">
        <v>820</v>
      </c>
      <c r="AV104">
        <v>0</v>
      </c>
      <c r="AW104">
        <v>2</v>
      </c>
      <c r="AX104">
        <v>51867126</v>
      </c>
      <c r="AY104">
        <v>1</v>
      </c>
      <c r="AZ104">
        <v>0</v>
      </c>
      <c r="BA104">
        <v>112</v>
      </c>
      <c r="BB104">
        <v>1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54.0974</v>
      </c>
      <c r="BL104">
        <v>13.7438</v>
      </c>
      <c r="BM104">
        <v>0</v>
      </c>
      <c r="BN104">
        <v>0</v>
      </c>
      <c r="BO104">
        <v>0</v>
      </c>
      <c r="BP104">
        <v>1</v>
      </c>
      <c r="BQ104">
        <v>0</v>
      </c>
      <c r="BR104">
        <v>67.621750000000006</v>
      </c>
      <c r="BS104">
        <v>17.179749999999999</v>
      </c>
      <c r="BT104">
        <v>0</v>
      </c>
      <c r="BU104">
        <v>0</v>
      </c>
      <c r="BV104">
        <v>0</v>
      </c>
      <c r="BW104">
        <v>1</v>
      </c>
      <c r="CX104">
        <f>Y104*Source!I56</f>
        <v>1.3755E-2</v>
      </c>
      <c r="CY104">
        <f>AB104</f>
        <v>772.82</v>
      </c>
      <c r="CZ104">
        <f>AF104</f>
        <v>772.82</v>
      </c>
      <c r="DA104">
        <f>AJ104</f>
        <v>1</v>
      </c>
      <c r="DB104">
        <f>ROUND((ROUND(AT104*CZ104,2)*1.25),6)</f>
        <v>67.625</v>
      </c>
      <c r="DC104">
        <f>ROUND((ROUND(AT104*AG104,2)*1.25),6)</f>
        <v>17.175000000000001</v>
      </c>
    </row>
    <row r="105" spans="1:107" x14ac:dyDescent="0.2">
      <c r="A105">
        <f>ROW(Source!A56)</f>
        <v>56</v>
      </c>
      <c r="B105">
        <v>51866573</v>
      </c>
      <c r="C105">
        <v>51867116</v>
      </c>
      <c r="D105">
        <v>39062170</v>
      </c>
      <c r="E105">
        <v>1</v>
      </c>
      <c r="F105">
        <v>1</v>
      </c>
      <c r="G105">
        <v>1</v>
      </c>
      <c r="H105">
        <v>3</v>
      </c>
      <c r="I105" t="s">
        <v>1079</v>
      </c>
      <c r="J105" t="s">
        <v>1080</v>
      </c>
      <c r="K105" t="s">
        <v>1081</v>
      </c>
      <c r="L105">
        <v>1348</v>
      </c>
      <c r="N105">
        <v>1009</v>
      </c>
      <c r="O105" t="s">
        <v>99</v>
      </c>
      <c r="P105" t="s">
        <v>99</v>
      </c>
      <c r="Q105">
        <v>1000</v>
      </c>
      <c r="W105">
        <v>0</v>
      </c>
      <c r="X105">
        <v>-1999067301</v>
      </c>
      <c r="Y105">
        <v>4.0000000000000001E-3</v>
      </c>
      <c r="AA105">
        <v>42903.28</v>
      </c>
      <c r="AB105">
        <v>0</v>
      </c>
      <c r="AC105">
        <v>0</v>
      </c>
      <c r="AD105">
        <v>0</v>
      </c>
      <c r="AE105">
        <v>42903.28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0</v>
      </c>
      <c r="AP105">
        <v>0</v>
      </c>
      <c r="AQ105">
        <v>1</v>
      </c>
      <c r="AR105">
        <v>0</v>
      </c>
      <c r="AT105">
        <v>4.0000000000000001E-3</v>
      </c>
      <c r="AV105">
        <v>0</v>
      </c>
      <c r="AW105">
        <v>2</v>
      </c>
      <c r="AX105">
        <v>51867127</v>
      </c>
      <c r="AY105">
        <v>1</v>
      </c>
      <c r="AZ105">
        <v>0</v>
      </c>
      <c r="BA105">
        <v>113</v>
      </c>
      <c r="BB105">
        <v>1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171.61312000000001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1</v>
      </c>
      <c r="BQ105">
        <v>171.61312000000001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1</v>
      </c>
      <c r="CX105">
        <f>Y105*Source!I56</f>
        <v>6.288E-4</v>
      </c>
      <c r="CY105">
        <f>AA105</f>
        <v>42903.28</v>
      </c>
      <c r="CZ105">
        <f>AE105</f>
        <v>42903.28</v>
      </c>
      <c r="DA105">
        <f>AI105</f>
        <v>1</v>
      </c>
      <c r="DB105">
        <f>ROUND(ROUND(AT105*CZ105,2),6)</f>
        <v>171.61</v>
      </c>
      <c r="DC105">
        <f>ROUND(ROUND(AT105*AG105,2),6)</f>
        <v>0</v>
      </c>
    </row>
    <row r="106" spans="1:107" x14ac:dyDescent="0.2">
      <c r="A106">
        <f>ROW(Source!A56)</f>
        <v>56</v>
      </c>
      <c r="B106">
        <v>51866573</v>
      </c>
      <c r="C106">
        <v>51867116</v>
      </c>
      <c r="D106">
        <v>39061451</v>
      </c>
      <c r="E106">
        <v>1</v>
      </c>
      <c r="F106">
        <v>1</v>
      </c>
      <c r="G106">
        <v>1</v>
      </c>
      <c r="H106">
        <v>3</v>
      </c>
      <c r="I106" t="s">
        <v>1082</v>
      </c>
      <c r="J106" t="s">
        <v>1083</v>
      </c>
      <c r="K106" t="s">
        <v>1084</v>
      </c>
      <c r="L106">
        <v>1348</v>
      </c>
      <c r="N106">
        <v>1009</v>
      </c>
      <c r="O106" t="s">
        <v>99</v>
      </c>
      <c r="P106" t="s">
        <v>99</v>
      </c>
      <c r="Q106">
        <v>1000</v>
      </c>
      <c r="W106">
        <v>0</v>
      </c>
      <c r="X106">
        <v>1705702731</v>
      </c>
      <c r="Y106">
        <v>1.2E-2</v>
      </c>
      <c r="AA106">
        <v>39926.980000000003</v>
      </c>
      <c r="AB106">
        <v>0</v>
      </c>
      <c r="AC106">
        <v>0</v>
      </c>
      <c r="AD106">
        <v>0</v>
      </c>
      <c r="AE106">
        <v>39926.980000000003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0</v>
      </c>
      <c r="AP106">
        <v>0</v>
      </c>
      <c r="AQ106">
        <v>1</v>
      </c>
      <c r="AR106">
        <v>0</v>
      </c>
      <c r="AT106">
        <v>1.2E-2</v>
      </c>
      <c r="AV106">
        <v>0</v>
      </c>
      <c r="AW106">
        <v>2</v>
      </c>
      <c r="AX106">
        <v>51867128</v>
      </c>
      <c r="AY106">
        <v>1</v>
      </c>
      <c r="AZ106">
        <v>0</v>
      </c>
      <c r="BA106">
        <v>114</v>
      </c>
      <c r="BB106">
        <v>1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479.12376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1</v>
      </c>
      <c r="BQ106">
        <v>479.12376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1</v>
      </c>
      <c r="CX106">
        <f>Y106*Source!I56</f>
        <v>1.8864000000000001E-3</v>
      </c>
      <c r="CY106">
        <f>AA106</f>
        <v>39926.980000000003</v>
      </c>
      <c r="CZ106">
        <f>AE106</f>
        <v>39926.980000000003</v>
      </c>
      <c r="DA106">
        <f>AI106</f>
        <v>1</v>
      </c>
      <c r="DB106">
        <f>ROUND(ROUND(AT106*CZ106,2),6)</f>
        <v>479.12</v>
      </c>
      <c r="DC106">
        <f>ROUND(ROUND(AT106*AG106,2),6)</f>
        <v>0</v>
      </c>
    </row>
    <row r="107" spans="1:107" x14ac:dyDescent="0.2">
      <c r="A107">
        <f>ROW(Source!A57)</f>
        <v>57</v>
      </c>
      <c r="B107">
        <v>51866571</v>
      </c>
      <c r="C107">
        <v>51867116</v>
      </c>
      <c r="D107">
        <v>23129805</v>
      </c>
      <c r="E107">
        <v>1</v>
      </c>
      <c r="F107">
        <v>1</v>
      </c>
      <c r="G107">
        <v>1</v>
      </c>
      <c r="H107">
        <v>1</v>
      </c>
      <c r="I107" t="s">
        <v>1054</v>
      </c>
      <c r="K107" t="s">
        <v>1055</v>
      </c>
      <c r="L107">
        <v>1369</v>
      </c>
      <c r="N107">
        <v>1013</v>
      </c>
      <c r="O107" t="s">
        <v>71</v>
      </c>
      <c r="P107" t="s">
        <v>71</v>
      </c>
      <c r="Q107">
        <v>1</v>
      </c>
      <c r="W107">
        <v>0</v>
      </c>
      <c r="X107">
        <v>756115135</v>
      </c>
      <c r="Y107">
        <v>129.66249999999999</v>
      </c>
      <c r="AA107">
        <v>0</v>
      </c>
      <c r="AB107">
        <v>0</v>
      </c>
      <c r="AC107">
        <v>0</v>
      </c>
      <c r="AD107">
        <v>157.76</v>
      </c>
      <c r="AE107">
        <v>0</v>
      </c>
      <c r="AF107">
        <v>0</v>
      </c>
      <c r="AG107">
        <v>0</v>
      </c>
      <c r="AH107">
        <v>157.76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0</v>
      </c>
      <c r="AP107">
        <v>1</v>
      </c>
      <c r="AQ107">
        <v>1</v>
      </c>
      <c r="AR107">
        <v>0</v>
      </c>
      <c r="AT107">
        <v>112.75</v>
      </c>
      <c r="AU107" t="s">
        <v>821</v>
      </c>
      <c r="AV107">
        <v>1</v>
      </c>
      <c r="AW107">
        <v>2</v>
      </c>
      <c r="AX107">
        <v>51867123</v>
      </c>
      <c r="AY107">
        <v>1</v>
      </c>
      <c r="AZ107">
        <v>131072</v>
      </c>
      <c r="BA107">
        <v>116</v>
      </c>
      <c r="BB107">
        <v>1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17787.439999999999</v>
      </c>
      <c r="BN107">
        <v>112.75</v>
      </c>
      <c r="BO107">
        <v>0</v>
      </c>
      <c r="BP107">
        <v>1</v>
      </c>
      <c r="BQ107">
        <v>0</v>
      </c>
      <c r="BR107">
        <v>0</v>
      </c>
      <c r="BS107">
        <v>0</v>
      </c>
      <c r="BT107">
        <v>20455.556</v>
      </c>
      <c r="BU107">
        <v>129.66249999999999</v>
      </c>
      <c r="BV107">
        <v>0</v>
      </c>
      <c r="BW107">
        <v>1</v>
      </c>
      <c r="CX107">
        <f>Y107*Source!I57</f>
        <v>20.382944999999999</v>
      </c>
      <c r="CY107">
        <f>AD107</f>
        <v>157.76</v>
      </c>
      <c r="CZ107">
        <f>AH107</f>
        <v>157.76</v>
      </c>
      <c r="DA107">
        <f>AL107</f>
        <v>1</v>
      </c>
      <c r="DB107">
        <f>ROUND((ROUND(AT107*CZ107,2)*1.15),6)</f>
        <v>20455.556</v>
      </c>
      <c r="DC107">
        <f>ROUND((ROUND(AT107*AG107,2)*1.15),6)</f>
        <v>0</v>
      </c>
    </row>
    <row r="108" spans="1:107" x14ac:dyDescent="0.2">
      <c r="A108">
        <f>ROW(Source!A57)</f>
        <v>57</v>
      </c>
      <c r="B108">
        <v>51866571</v>
      </c>
      <c r="C108">
        <v>51867116</v>
      </c>
      <c r="D108">
        <v>121548</v>
      </c>
      <c r="E108">
        <v>1</v>
      </c>
      <c r="F108">
        <v>1</v>
      </c>
      <c r="G108">
        <v>1</v>
      </c>
      <c r="H108">
        <v>1</v>
      </c>
      <c r="I108" t="s">
        <v>96</v>
      </c>
      <c r="K108" t="s">
        <v>1001</v>
      </c>
      <c r="L108">
        <v>608254</v>
      </c>
      <c r="N108">
        <v>1013</v>
      </c>
      <c r="O108" t="s">
        <v>1002</v>
      </c>
      <c r="P108" t="s">
        <v>1002</v>
      </c>
      <c r="Q108">
        <v>1</v>
      </c>
      <c r="W108">
        <v>0</v>
      </c>
      <c r="X108">
        <v>-185737400</v>
      </c>
      <c r="Y108">
        <v>0.25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0</v>
      </c>
      <c r="AP108">
        <v>1</v>
      </c>
      <c r="AQ108">
        <v>1</v>
      </c>
      <c r="AR108">
        <v>0</v>
      </c>
      <c r="AT108">
        <v>0.2</v>
      </c>
      <c r="AU108" t="s">
        <v>820</v>
      </c>
      <c r="AV108">
        <v>2</v>
      </c>
      <c r="AW108">
        <v>2</v>
      </c>
      <c r="AX108">
        <v>51867124</v>
      </c>
      <c r="AY108">
        <v>1</v>
      </c>
      <c r="AZ108">
        <v>0</v>
      </c>
      <c r="BA108">
        <v>117</v>
      </c>
      <c r="BB108">
        <v>1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0.2</v>
      </c>
      <c r="BP108">
        <v>1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0.25</v>
      </c>
      <c r="BW108">
        <v>1</v>
      </c>
      <c r="CX108">
        <f>Y108*Source!I57</f>
        <v>3.9300000000000002E-2</v>
      </c>
      <c r="CY108">
        <f>AD108</f>
        <v>0</v>
      </c>
      <c r="CZ108">
        <f>AH108</f>
        <v>0</v>
      </c>
      <c r="DA108">
        <f>AL108</f>
        <v>1</v>
      </c>
      <c r="DB108">
        <f>ROUND((ROUND(AT108*CZ108,2)*1.25),6)</f>
        <v>0</v>
      </c>
      <c r="DC108">
        <f>ROUND((ROUND(AT108*AG108,2)*1.25),6)</f>
        <v>0</v>
      </c>
    </row>
    <row r="109" spans="1:107" x14ac:dyDescent="0.2">
      <c r="A109">
        <f>ROW(Source!A57)</f>
        <v>57</v>
      </c>
      <c r="B109">
        <v>51866571</v>
      </c>
      <c r="C109">
        <v>51867116</v>
      </c>
      <c r="D109">
        <v>39127533</v>
      </c>
      <c r="E109">
        <v>1</v>
      </c>
      <c r="F109">
        <v>1</v>
      </c>
      <c r="G109">
        <v>1</v>
      </c>
      <c r="H109">
        <v>2</v>
      </c>
      <c r="I109" t="s">
        <v>1076</v>
      </c>
      <c r="J109" t="s">
        <v>1077</v>
      </c>
      <c r="K109" t="s">
        <v>1078</v>
      </c>
      <c r="L109">
        <v>1368</v>
      </c>
      <c r="N109">
        <v>1011</v>
      </c>
      <c r="O109" t="s">
        <v>1006</v>
      </c>
      <c r="P109" t="s">
        <v>1006</v>
      </c>
      <c r="Q109">
        <v>1</v>
      </c>
      <c r="W109">
        <v>0</v>
      </c>
      <c r="X109">
        <v>1604115853</v>
      </c>
      <c r="Y109">
        <v>0.25</v>
      </c>
      <c r="AA109">
        <v>0</v>
      </c>
      <c r="AB109">
        <v>671.97</v>
      </c>
      <c r="AC109">
        <v>239.1</v>
      </c>
      <c r="AD109">
        <v>0</v>
      </c>
      <c r="AE109">
        <v>0</v>
      </c>
      <c r="AF109">
        <v>671.97</v>
      </c>
      <c r="AG109">
        <v>239.1</v>
      </c>
      <c r="AH109">
        <v>0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0</v>
      </c>
      <c r="AP109">
        <v>1</v>
      </c>
      <c r="AQ109">
        <v>1</v>
      </c>
      <c r="AR109">
        <v>0</v>
      </c>
      <c r="AT109">
        <v>0.2</v>
      </c>
      <c r="AU109" t="s">
        <v>820</v>
      </c>
      <c r="AV109">
        <v>0</v>
      </c>
      <c r="AW109">
        <v>2</v>
      </c>
      <c r="AX109">
        <v>51867125</v>
      </c>
      <c r="AY109">
        <v>1</v>
      </c>
      <c r="AZ109">
        <v>0</v>
      </c>
      <c r="BA109">
        <v>118</v>
      </c>
      <c r="BB109">
        <v>1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134.39400000000001</v>
      </c>
      <c r="BL109">
        <v>47.82</v>
      </c>
      <c r="BM109">
        <v>0</v>
      </c>
      <c r="BN109">
        <v>0</v>
      </c>
      <c r="BO109">
        <v>0</v>
      </c>
      <c r="BP109">
        <v>1</v>
      </c>
      <c r="BQ109">
        <v>0</v>
      </c>
      <c r="BR109">
        <v>167.99250000000001</v>
      </c>
      <c r="BS109">
        <v>59.774999999999999</v>
      </c>
      <c r="BT109">
        <v>0</v>
      </c>
      <c r="BU109">
        <v>0</v>
      </c>
      <c r="BV109">
        <v>0</v>
      </c>
      <c r="BW109">
        <v>1</v>
      </c>
      <c r="CX109">
        <f>Y109*Source!I57</f>
        <v>3.9300000000000002E-2</v>
      </c>
      <c r="CY109">
        <f>AB109</f>
        <v>671.97</v>
      </c>
      <c r="CZ109">
        <f>AF109</f>
        <v>671.97</v>
      </c>
      <c r="DA109">
        <f>AJ109</f>
        <v>1</v>
      </c>
      <c r="DB109">
        <f>ROUND((ROUND(AT109*CZ109,2)*1.25),6)</f>
        <v>167.98750000000001</v>
      </c>
      <c r="DC109">
        <f>ROUND((ROUND(AT109*AG109,2)*1.25),6)</f>
        <v>59.774999999999999</v>
      </c>
    </row>
    <row r="110" spans="1:107" x14ac:dyDescent="0.2">
      <c r="A110">
        <f>ROW(Source!A57)</f>
        <v>57</v>
      </c>
      <c r="B110">
        <v>51866571</v>
      </c>
      <c r="C110">
        <v>51867116</v>
      </c>
      <c r="D110">
        <v>39129630</v>
      </c>
      <c r="E110">
        <v>1</v>
      </c>
      <c r="F110">
        <v>1</v>
      </c>
      <c r="G110">
        <v>1</v>
      </c>
      <c r="H110">
        <v>2</v>
      </c>
      <c r="I110" t="s">
        <v>1032</v>
      </c>
      <c r="J110" t="s">
        <v>1033</v>
      </c>
      <c r="K110" t="s">
        <v>1034</v>
      </c>
      <c r="L110">
        <v>1368</v>
      </c>
      <c r="N110">
        <v>1011</v>
      </c>
      <c r="O110" t="s">
        <v>1006</v>
      </c>
      <c r="P110" t="s">
        <v>1006</v>
      </c>
      <c r="Q110">
        <v>1</v>
      </c>
      <c r="W110">
        <v>0</v>
      </c>
      <c r="X110">
        <v>-671646184</v>
      </c>
      <c r="Y110">
        <v>8.7499999999999994E-2</v>
      </c>
      <c r="AA110">
        <v>0</v>
      </c>
      <c r="AB110">
        <v>800.28</v>
      </c>
      <c r="AC110">
        <v>204.52</v>
      </c>
      <c r="AD110">
        <v>0</v>
      </c>
      <c r="AE110">
        <v>0</v>
      </c>
      <c r="AF110">
        <v>800.28</v>
      </c>
      <c r="AG110">
        <v>204.52</v>
      </c>
      <c r="AH110">
        <v>0</v>
      </c>
      <c r="AI110">
        <v>1</v>
      </c>
      <c r="AJ110">
        <v>1</v>
      </c>
      <c r="AK110">
        <v>1</v>
      </c>
      <c r="AL110">
        <v>1</v>
      </c>
      <c r="AN110">
        <v>0</v>
      </c>
      <c r="AO110">
        <v>0</v>
      </c>
      <c r="AP110">
        <v>1</v>
      </c>
      <c r="AQ110">
        <v>1</v>
      </c>
      <c r="AR110">
        <v>0</v>
      </c>
      <c r="AT110">
        <v>7.0000000000000007E-2</v>
      </c>
      <c r="AU110" t="s">
        <v>820</v>
      </c>
      <c r="AV110">
        <v>0</v>
      </c>
      <c r="AW110">
        <v>2</v>
      </c>
      <c r="AX110">
        <v>51867126</v>
      </c>
      <c r="AY110">
        <v>1</v>
      </c>
      <c r="AZ110">
        <v>0</v>
      </c>
      <c r="BA110">
        <v>119</v>
      </c>
      <c r="BB110">
        <v>1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56.019599999999997</v>
      </c>
      <c r="BL110">
        <v>14.3164</v>
      </c>
      <c r="BM110">
        <v>0</v>
      </c>
      <c r="BN110">
        <v>0</v>
      </c>
      <c r="BO110">
        <v>0</v>
      </c>
      <c r="BP110">
        <v>1</v>
      </c>
      <c r="BQ110">
        <v>0</v>
      </c>
      <c r="BR110">
        <v>70.024500000000003</v>
      </c>
      <c r="BS110">
        <v>17.895499999999998</v>
      </c>
      <c r="BT110">
        <v>0</v>
      </c>
      <c r="BU110">
        <v>0</v>
      </c>
      <c r="BV110">
        <v>0</v>
      </c>
      <c r="BW110">
        <v>1</v>
      </c>
      <c r="CX110">
        <f>Y110*Source!I57</f>
        <v>1.3755E-2</v>
      </c>
      <c r="CY110">
        <f>AB110</f>
        <v>800.28</v>
      </c>
      <c r="CZ110">
        <f>AF110</f>
        <v>800.28</v>
      </c>
      <c r="DA110">
        <f>AJ110</f>
        <v>1</v>
      </c>
      <c r="DB110">
        <f>ROUND((ROUND(AT110*CZ110,2)*1.25),6)</f>
        <v>70.025000000000006</v>
      </c>
      <c r="DC110">
        <f>ROUND((ROUND(AT110*AG110,2)*1.25),6)</f>
        <v>17.899999999999999</v>
      </c>
    </row>
    <row r="111" spans="1:107" x14ac:dyDescent="0.2">
      <c r="A111">
        <f>ROW(Source!A57)</f>
        <v>57</v>
      </c>
      <c r="B111">
        <v>51866571</v>
      </c>
      <c r="C111">
        <v>51867116</v>
      </c>
      <c r="D111">
        <v>39062170</v>
      </c>
      <c r="E111">
        <v>1</v>
      </c>
      <c r="F111">
        <v>1</v>
      </c>
      <c r="G111">
        <v>1</v>
      </c>
      <c r="H111">
        <v>3</v>
      </c>
      <c r="I111" t="s">
        <v>1079</v>
      </c>
      <c r="J111" t="s">
        <v>1080</v>
      </c>
      <c r="K111" t="s">
        <v>1081</v>
      </c>
      <c r="L111">
        <v>1348</v>
      </c>
      <c r="N111">
        <v>1009</v>
      </c>
      <c r="O111" t="s">
        <v>99</v>
      </c>
      <c r="P111" t="s">
        <v>99</v>
      </c>
      <c r="Q111">
        <v>1000</v>
      </c>
      <c r="W111">
        <v>0</v>
      </c>
      <c r="X111">
        <v>-1999067301</v>
      </c>
      <c r="Y111">
        <v>4.0000000000000001E-3</v>
      </c>
      <c r="AA111">
        <v>42915.58</v>
      </c>
      <c r="AB111">
        <v>0</v>
      </c>
      <c r="AC111">
        <v>0</v>
      </c>
      <c r="AD111">
        <v>0</v>
      </c>
      <c r="AE111">
        <v>42915.58</v>
      </c>
      <c r="AF111">
        <v>0</v>
      </c>
      <c r="AG111">
        <v>0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0</v>
      </c>
      <c r="AP111">
        <v>0</v>
      </c>
      <c r="AQ111">
        <v>1</v>
      </c>
      <c r="AR111">
        <v>0</v>
      </c>
      <c r="AT111">
        <v>4.0000000000000001E-3</v>
      </c>
      <c r="AV111">
        <v>0</v>
      </c>
      <c r="AW111">
        <v>2</v>
      </c>
      <c r="AX111">
        <v>51867127</v>
      </c>
      <c r="AY111">
        <v>1</v>
      </c>
      <c r="AZ111">
        <v>0</v>
      </c>
      <c r="BA111">
        <v>120</v>
      </c>
      <c r="BB111">
        <v>1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171.66231999999999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1</v>
      </c>
      <c r="BQ111">
        <v>171.66231999999999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1</v>
      </c>
      <c r="CX111">
        <f>Y111*Source!I57</f>
        <v>6.288E-4</v>
      </c>
      <c r="CY111">
        <f>AA111</f>
        <v>42915.58</v>
      </c>
      <c r="CZ111">
        <f>AE111</f>
        <v>42915.58</v>
      </c>
      <c r="DA111">
        <f>AI111</f>
        <v>1</v>
      </c>
      <c r="DB111">
        <f t="shared" ref="DB111:DB118" si="12">ROUND(ROUND(AT111*CZ111,2),6)</f>
        <v>171.66</v>
      </c>
      <c r="DC111">
        <f t="shared" ref="DC111:DC118" si="13">ROUND(ROUND(AT111*AG111,2),6)</f>
        <v>0</v>
      </c>
    </row>
    <row r="112" spans="1:107" x14ac:dyDescent="0.2">
      <c r="A112">
        <f>ROW(Source!A57)</f>
        <v>57</v>
      </c>
      <c r="B112">
        <v>51866571</v>
      </c>
      <c r="C112">
        <v>51867116</v>
      </c>
      <c r="D112">
        <v>39061451</v>
      </c>
      <c r="E112">
        <v>1</v>
      </c>
      <c r="F112">
        <v>1</v>
      </c>
      <c r="G112">
        <v>1</v>
      </c>
      <c r="H112">
        <v>3</v>
      </c>
      <c r="I112" t="s">
        <v>1082</v>
      </c>
      <c r="J112" t="s">
        <v>1083</v>
      </c>
      <c r="K112" t="s">
        <v>1084</v>
      </c>
      <c r="L112">
        <v>1348</v>
      </c>
      <c r="N112">
        <v>1009</v>
      </c>
      <c r="O112" t="s">
        <v>99</v>
      </c>
      <c r="P112" t="s">
        <v>99</v>
      </c>
      <c r="Q112">
        <v>1000</v>
      </c>
      <c r="W112">
        <v>0</v>
      </c>
      <c r="X112">
        <v>1705702731</v>
      </c>
      <c r="Y112">
        <v>1.2E-2</v>
      </c>
      <c r="AA112">
        <v>39938.17</v>
      </c>
      <c r="AB112">
        <v>0</v>
      </c>
      <c r="AC112">
        <v>0</v>
      </c>
      <c r="AD112">
        <v>0</v>
      </c>
      <c r="AE112">
        <v>39938.17</v>
      </c>
      <c r="AF112">
        <v>0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0</v>
      </c>
      <c r="AP112">
        <v>0</v>
      </c>
      <c r="AQ112">
        <v>1</v>
      </c>
      <c r="AR112">
        <v>0</v>
      </c>
      <c r="AT112">
        <v>1.2E-2</v>
      </c>
      <c r="AV112">
        <v>0</v>
      </c>
      <c r="AW112">
        <v>2</v>
      </c>
      <c r="AX112">
        <v>51867128</v>
      </c>
      <c r="AY112">
        <v>1</v>
      </c>
      <c r="AZ112">
        <v>0</v>
      </c>
      <c r="BA112">
        <v>121</v>
      </c>
      <c r="BB112">
        <v>1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479.25803999999999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1</v>
      </c>
      <c r="BQ112">
        <v>479.25803999999999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1</v>
      </c>
      <c r="CX112">
        <f>Y112*Source!I57</f>
        <v>1.8864000000000001E-3</v>
      </c>
      <c r="CY112">
        <f>AA112</f>
        <v>39938.17</v>
      </c>
      <c r="CZ112">
        <f>AE112</f>
        <v>39938.17</v>
      </c>
      <c r="DA112">
        <f>AI112</f>
        <v>1</v>
      </c>
      <c r="DB112">
        <f t="shared" si="12"/>
        <v>479.26</v>
      </c>
      <c r="DC112">
        <f t="shared" si="13"/>
        <v>0</v>
      </c>
    </row>
    <row r="113" spans="1:107" x14ac:dyDescent="0.2">
      <c r="A113">
        <f>ROW(Source!A60)</f>
        <v>60</v>
      </c>
      <c r="B113">
        <v>51866573</v>
      </c>
      <c r="C113">
        <v>51867131</v>
      </c>
      <c r="D113">
        <v>23132580</v>
      </c>
      <c r="E113">
        <v>1</v>
      </c>
      <c r="F113">
        <v>1</v>
      </c>
      <c r="G113">
        <v>1</v>
      </c>
      <c r="H113">
        <v>1</v>
      </c>
      <c r="I113" t="s">
        <v>1085</v>
      </c>
      <c r="K113" t="s">
        <v>1086</v>
      </c>
      <c r="L113">
        <v>1369</v>
      </c>
      <c r="N113">
        <v>1013</v>
      </c>
      <c r="O113" t="s">
        <v>71</v>
      </c>
      <c r="P113" t="s">
        <v>71</v>
      </c>
      <c r="Q113">
        <v>1</v>
      </c>
      <c r="W113">
        <v>0</v>
      </c>
      <c r="X113">
        <v>-1650663065</v>
      </c>
      <c r="Y113">
        <v>0.57769999999999999</v>
      </c>
      <c r="AA113">
        <v>0</v>
      </c>
      <c r="AB113">
        <v>0</v>
      </c>
      <c r="AC113">
        <v>0</v>
      </c>
      <c r="AD113">
        <v>126.2</v>
      </c>
      <c r="AE113">
        <v>0</v>
      </c>
      <c r="AF113">
        <v>0</v>
      </c>
      <c r="AG113">
        <v>0</v>
      </c>
      <c r="AH113">
        <v>126.2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0</v>
      </c>
      <c r="AP113">
        <v>0</v>
      </c>
      <c r="AQ113">
        <v>1</v>
      </c>
      <c r="AR113">
        <v>0</v>
      </c>
      <c r="AT113">
        <v>0.57769999999999999</v>
      </c>
      <c r="AV113">
        <v>1</v>
      </c>
      <c r="AW113">
        <v>2</v>
      </c>
      <c r="AX113">
        <v>51867134</v>
      </c>
      <c r="AY113">
        <v>1</v>
      </c>
      <c r="AZ113">
        <v>0</v>
      </c>
      <c r="BA113">
        <v>123</v>
      </c>
      <c r="BB113">
        <v>1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72.905739999999994</v>
      </c>
      <c r="BN113">
        <v>0.57769999999999999</v>
      </c>
      <c r="BO113">
        <v>0</v>
      </c>
      <c r="BP113">
        <v>1</v>
      </c>
      <c r="BQ113">
        <v>0</v>
      </c>
      <c r="BR113">
        <v>0</v>
      </c>
      <c r="BS113">
        <v>0</v>
      </c>
      <c r="BT113">
        <v>72.905739999999994</v>
      </c>
      <c r="BU113">
        <v>0.57769999999999999</v>
      </c>
      <c r="BV113">
        <v>0</v>
      </c>
      <c r="BW113">
        <v>1</v>
      </c>
      <c r="CX113">
        <f>Y113*Source!I60</f>
        <v>7.2385809999999999</v>
      </c>
      <c r="CY113">
        <f>AD113</f>
        <v>126.2</v>
      </c>
      <c r="CZ113">
        <f>AH113</f>
        <v>126.2</v>
      </c>
      <c r="DA113">
        <f>AL113</f>
        <v>1</v>
      </c>
      <c r="DB113">
        <f t="shared" si="12"/>
        <v>72.91</v>
      </c>
      <c r="DC113">
        <f t="shared" si="13"/>
        <v>0</v>
      </c>
    </row>
    <row r="114" spans="1:107" x14ac:dyDescent="0.2">
      <c r="A114">
        <f>ROW(Source!A60)</f>
        <v>60</v>
      </c>
      <c r="B114">
        <v>51866573</v>
      </c>
      <c r="C114">
        <v>51867131</v>
      </c>
      <c r="D114">
        <v>39129637</v>
      </c>
      <c r="E114">
        <v>1</v>
      </c>
      <c r="F114">
        <v>1</v>
      </c>
      <c r="G114">
        <v>1</v>
      </c>
      <c r="H114">
        <v>2</v>
      </c>
      <c r="I114" t="s">
        <v>1087</v>
      </c>
      <c r="J114" t="s">
        <v>1088</v>
      </c>
      <c r="K114" t="s">
        <v>1089</v>
      </c>
      <c r="L114">
        <v>1368</v>
      </c>
      <c r="N114">
        <v>1011</v>
      </c>
      <c r="O114" t="s">
        <v>1006</v>
      </c>
      <c r="P114" t="s">
        <v>1006</v>
      </c>
      <c r="Q114">
        <v>1</v>
      </c>
      <c r="W114">
        <v>0</v>
      </c>
      <c r="X114">
        <v>1337510657</v>
      </c>
      <c r="Y114">
        <v>0.28999999999999998</v>
      </c>
      <c r="AA114">
        <v>0</v>
      </c>
      <c r="AB114">
        <v>785.98</v>
      </c>
      <c r="AC114">
        <v>0</v>
      </c>
      <c r="AD114">
        <v>0</v>
      </c>
      <c r="AE114">
        <v>0</v>
      </c>
      <c r="AF114">
        <v>785.98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0</v>
      </c>
      <c r="AP114">
        <v>0</v>
      </c>
      <c r="AQ114">
        <v>1</v>
      </c>
      <c r="AR114">
        <v>0</v>
      </c>
      <c r="AT114">
        <v>0.28999999999999998</v>
      </c>
      <c r="AV114">
        <v>0</v>
      </c>
      <c r="AW114">
        <v>2</v>
      </c>
      <c r="AX114">
        <v>51867135</v>
      </c>
      <c r="AY114">
        <v>2</v>
      </c>
      <c r="AZ114">
        <v>65536</v>
      </c>
      <c r="BA114">
        <v>124</v>
      </c>
      <c r="BB114">
        <v>1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227.9342</v>
      </c>
      <c r="BL114">
        <v>0</v>
      </c>
      <c r="BM114">
        <v>0</v>
      </c>
      <c r="BN114">
        <v>0</v>
      </c>
      <c r="BO114">
        <v>0</v>
      </c>
      <c r="BP114">
        <v>1</v>
      </c>
      <c r="BQ114">
        <v>0</v>
      </c>
      <c r="BR114">
        <v>227.9342</v>
      </c>
      <c r="BS114">
        <v>0</v>
      </c>
      <c r="BT114">
        <v>0</v>
      </c>
      <c r="BU114">
        <v>0</v>
      </c>
      <c r="BV114">
        <v>0</v>
      </c>
      <c r="BW114">
        <v>1</v>
      </c>
      <c r="CX114">
        <f>Y114*Source!I60</f>
        <v>3.6336999999999997</v>
      </c>
      <c r="CY114">
        <f>AB114</f>
        <v>785.98</v>
      </c>
      <c r="CZ114">
        <f>AF114</f>
        <v>785.98</v>
      </c>
      <c r="DA114">
        <f>AJ114</f>
        <v>1</v>
      </c>
      <c r="DB114">
        <f t="shared" si="12"/>
        <v>227.93</v>
      </c>
      <c r="DC114">
        <f t="shared" si="13"/>
        <v>0</v>
      </c>
    </row>
    <row r="115" spans="1:107" x14ac:dyDescent="0.2">
      <c r="A115">
        <f>ROW(Source!A61)</f>
        <v>61</v>
      </c>
      <c r="B115">
        <v>51866571</v>
      </c>
      <c r="C115">
        <v>51867131</v>
      </c>
      <c r="D115">
        <v>23132580</v>
      </c>
      <c r="E115">
        <v>1</v>
      </c>
      <c r="F115">
        <v>1</v>
      </c>
      <c r="G115">
        <v>1</v>
      </c>
      <c r="H115">
        <v>1</v>
      </c>
      <c r="I115" t="s">
        <v>1085</v>
      </c>
      <c r="K115" t="s">
        <v>1086</v>
      </c>
      <c r="L115">
        <v>1369</v>
      </c>
      <c r="N115">
        <v>1013</v>
      </c>
      <c r="O115" t="s">
        <v>71</v>
      </c>
      <c r="P115" t="s">
        <v>71</v>
      </c>
      <c r="Q115">
        <v>1</v>
      </c>
      <c r="W115">
        <v>0</v>
      </c>
      <c r="X115">
        <v>-1650663065</v>
      </c>
      <c r="Y115">
        <v>0.57769999999999999</v>
      </c>
      <c r="AA115">
        <v>0</v>
      </c>
      <c r="AB115">
        <v>0</v>
      </c>
      <c r="AC115">
        <v>0</v>
      </c>
      <c r="AD115">
        <v>132.57</v>
      </c>
      <c r="AE115">
        <v>0</v>
      </c>
      <c r="AF115">
        <v>0</v>
      </c>
      <c r="AG115">
        <v>0</v>
      </c>
      <c r="AH115">
        <v>132.57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0</v>
      </c>
      <c r="AP115">
        <v>0</v>
      </c>
      <c r="AQ115">
        <v>1</v>
      </c>
      <c r="AR115">
        <v>0</v>
      </c>
      <c r="AT115">
        <v>0.57769999999999999</v>
      </c>
      <c r="AV115">
        <v>1</v>
      </c>
      <c r="AW115">
        <v>2</v>
      </c>
      <c r="AX115">
        <v>51867134</v>
      </c>
      <c r="AY115">
        <v>1</v>
      </c>
      <c r="AZ115">
        <v>131072</v>
      </c>
      <c r="BA115">
        <v>125</v>
      </c>
      <c r="BB115">
        <v>1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76.585689000000002</v>
      </c>
      <c r="BN115">
        <v>0.57769999999999999</v>
      </c>
      <c r="BO115">
        <v>0</v>
      </c>
      <c r="BP115">
        <v>1</v>
      </c>
      <c r="BQ115">
        <v>0</v>
      </c>
      <c r="BR115">
        <v>0</v>
      </c>
      <c r="BS115">
        <v>0</v>
      </c>
      <c r="BT115">
        <v>76.585689000000002</v>
      </c>
      <c r="BU115">
        <v>0.57769999999999999</v>
      </c>
      <c r="BV115">
        <v>0</v>
      </c>
      <c r="BW115">
        <v>1</v>
      </c>
      <c r="CX115">
        <f>Y115*Source!I61</f>
        <v>7.2385809999999999</v>
      </c>
      <c r="CY115">
        <f>AD115</f>
        <v>132.57</v>
      </c>
      <c r="CZ115">
        <f>AH115</f>
        <v>132.57</v>
      </c>
      <c r="DA115">
        <f>AL115</f>
        <v>1</v>
      </c>
      <c r="DB115">
        <f t="shared" si="12"/>
        <v>76.59</v>
      </c>
      <c r="DC115">
        <f t="shared" si="13"/>
        <v>0</v>
      </c>
    </row>
    <row r="116" spans="1:107" x14ac:dyDescent="0.2">
      <c r="A116">
        <f>ROW(Source!A61)</f>
        <v>61</v>
      </c>
      <c r="B116">
        <v>51866571</v>
      </c>
      <c r="C116">
        <v>51867131</v>
      </c>
      <c r="D116">
        <v>39129637</v>
      </c>
      <c r="E116">
        <v>1</v>
      </c>
      <c r="F116">
        <v>1</v>
      </c>
      <c r="G116">
        <v>1</v>
      </c>
      <c r="H116">
        <v>2</v>
      </c>
      <c r="I116" t="s">
        <v>1087</v>
      </c>
      <c r="J116" t="s">
        <v>1088</v>
      </c>
      <c r="K116" t="s">
        <v>1089</v>
      </c>
      <c r="L116">
        <v>1368</v>
      </c>
      <c r="N116">
        <v>1011</v>
      </c>
      <c r="O116" t="s">
        <v>1006</v>
      </c>
      <c r="P116" t="s">
        <v>1006</v>
      </c>
      <c r="Q116">
        <v>1</v>
      </c>
      <c r="W116">
        <v>0</v>
      </c>
      <c r="X116">
        <v>1337510657</v>
      </c>
      <c r="Y116">
        <v>0.28999999999999998</v>
      </c>
      <c r="AA116">
        <v>0</v>
      </c>
      <c r="AB116">
        <v>785.98</v>
      </c>
      <c r="AC116">
        <v>0</v>
      </c>
      <c r="AD116">
        <v>0</v>
      </c>
      <c r="AE116">
        <v>0</v>
      </c>
      <c r="AF116">
        <v>785.98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0</v>
      </c>
      <c r="AP116">
        <v>0</v>
      </c>
      <c r="AQ116">
        <v>1</v>
      </c>
      <c r="AR116">
        <v>0</v>
      </c>
      <c r="AT116">
        <v>0.28999999999999998</v>
      </c>
      <c r="AV116">
        <v>0</v>
      </c>
      <c r="AW116">
        <v>2</v>
      </c>
      <c r="AX116">
        <v>51867135</v>
      </c>
      <c r="AY116">
        <v>2</v>
      </c>
      <c r="AZ116">
        <v>98304</v>
      </c>
      <c r="BA116">
        <v>126</v>
      </c>
      <c r="BB116">
        <v>1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227.9342</v>
      </c>
      <c r="BL116">
        <v>0</v>
      </c>
      <c r="BM116">
        <v>0</v>
      </c>
      <c r="BN116">
        <v>0</v>
      </c>
      <c r="BO116">
        <v>0</v>
      </c>
      <c r="BP116">
        <v>1</v>
      </c>
      <c r="BQ116">
        <v>0</v>
      </c>
      <c r="BR116">
        <v>227.9342</v>
      </c>
      <c r="BS116">
        <v>0</v>
      </c>
      <c r="BT116">
        <v>0</v>
      </c>
      <c r="BU116">
        <v>0</v>
      </c>
      <c r="BV116">
        <v>0</v>
      </c>
      <c r="BW116">
        <v>1</v>
      </c>
      <c r="CX116">
        <f>Y116*Source!I61</f>
        <v>3.6336999999999997</v>
      </c>
      <c r="CY116">
        <f>AB116</f>
        <v>785.98</v>
      </c>
      <c r="CZ116">
        <f>AF116</f>
        <v>785.98</v>
      </c>
      <c r="DA116">
        <f>AJ116</f>
        <v>1</v>
      </c>
      <c r="DB116">
        <f t="shared" si="12"/>
        <v>227.93</v>
      </c>
      <c r="DC116">
        <f t="shared" si="13"/>
        <v>0</v>
      </c>
    </row>
    <row r="117" spans="1:107" x14ac:dyDescent="0.2">
      <c r="A117">
        <f>ROW(Source!A62)</f>
        <v>62</v>
      </c>
      <c r="B117">
        <v>51866573</v>
      </c>
      <c r="C117">
        <v>51867136</v>
      </c>
      <c r="D117">
        <v>39129638</v>
      </c>
      <c r="E117">
        <v>1</v>
      </c>
      <c r="F117">
        <v>1</v>
      </c>
      <c r="G117">
        <v>1</v>
      </c>
      <c r="H117">
        <v>2</v>
      </c>
      <c r="I117" t="s">
        <v>1090</v>
      </c>
      <c r="J117" t="s">
        <v>1091</v>
      </c>
      <c r="K117" t="s">
        <v>1092</v>
      </c>
      <c r="L117">
        <v>1368</v>
      </c>
      <c r="N117">
        <v>1011</v>
      </c>
      <c r="O117" t="s">
        <v>1006</v>
      </c>
      <c r="P117" t="s">
        <v>1006</v>
      </c>
      <c r="Q117">
        <v>1</v>
      </c>
      <c r="W117">
        <v>0</v>
      </c>
      <c r="X117">
        <v>1267185835</v>
      </c>
      <c r="Y117">
        <v>0.19950000000000001</v>
      </c>
      <c r="AA117">
        <v>0</v>
      </c>
      <c r="AB117">
        <v>104.49</v>
      </c>
      <c r="AC117">
        <v>12.1</v>
      </c>
      <c r="AD117">
        <v>0</v>
      </c>
      <c r="AE117">
        <v>0</v>
      </c>
      <c r="AF117">
        <v>104.49</v>
      </c>
      <c r="AG117">
        <v>12.1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0</v>
      </c>
      <c r="AP117">
        <v>0</v>
      </c>
      <c r="AQ117">
        <v>1</v>
      </c>
      <c r="AR117">
        <v>0</v>
      </c>
      <c r="AT117">
        <v>0.19950000000000001</v>
      </c>
      <c r="AV117">
        <v>0</v>
      </c>
      <c r="AW117">
        <v>2</v>
      </c>
      <c r="AX117">
        <v>51868260</v>
      </c>
      <c r="AY117">
        <v>1</v>
      </c>
      <c r="AZ117">
        <v>0</v>
      </c>
      <c r="BA117">
        <v>127</v>
      </c>
      <c r="BB117">
        <v>1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20.845755</v>
      </c>
      <c r="BL117">
        <v>2.4139499999999998</v>
      </c>
      <c r="BM117">
        <v>0</v>
      </c>
      <c r="BN117">
        <v>0</v>
      </c>
      <c r="BO117">
        <v>0</v>
      </c>
      <c r="BP117">
        <v>1</v>
      </c>
      <c r="BQ117">
        <v>0</v>
      </c>
      <c r="BR117">
        <v>20.845755</v>
      </c>
      <c r="BS117">
        <v>2.4139499999999998</v>
      </c>
      <c r="BT117">
        <v>0</v>
      </c>
      <c r="BU117">
        <v>0</v>
      </c>
      <c r="BV117">
        <v>0</v>
      </c>
      <c r="BW117">
        <v>1</v>
      </c>
      <c r="CX117">
        <f>Y117*Source!I62</f>
        <v>2.4997349999999998</v>
      </c>
      <c r="CY117">
        <f>AB117</f>
        <v>104.49</v>
      </c>
      <c r="CZ117">
        <f>AF117</f>
        <v>104.49</v>
      </c>
      <c r="DA117">
        <f>AJ117</f>
        <v>1</v>
      </c>
      <c r="DB117">
        <f t="shared" si="12"/>
        <v>20.85</v>
      </c>
      <c r="DC117">
        <f t="shared" si="13"/>
        <v>2.41</v>
      </c>
    </row>
    <row r="118" spans="1:107" x14ac:dyDescent="0.2">
      <c r="A118">
        <f>ROW(Source!A63)</f>
        <v>63</v>
      </c>
      <c r="B118">
        <v>51866571</v>
      </c>
      <c r="C118">
        <v>51867136</v>
      </c>
      <c r="D118">
        <v>39129638</v>
      </c>
      <c r="E118">
        <v>1</v>
      </c>
      <c r="F118">
        <v>1</v>
      </c>
      <c r="G118">
        <v>1</v>
      </c>
      <c r="H118">
        <v>2</v>
      </c>
      <c r="I118" t="s">
        <v>1090</v>
      </c>
      <c r="J118" t="s">
        <v>1091</v>
      </c>
      <c r="K118" t="s">
        <v>1092</v>
      </c>
      <c r="L118">
        <v>1368</v>
      </c>
      <c r="N118">
        <v>1011</v>
      </c>
      <c r="O118" t="s">
        <v>1006</v>
      </c>
      <c r="P118" t="s">
        <v>1006</v>
      </c>
      <c r="Q118">
        <v>1</v>
      </c>
      <c r="W118">
        <v>0</v>
      </c>
      <c r="X118">
        <v>1267185835</v>
      </c>
      <c r="Y118">
        <v>0.19950000000000001</v>
      </c>
      <c r="AA118">
        <v>0</v>
      </c>
      <c r="AB118">
        <v>934.73</v>
      </c>
      <c r="AC118">
        <v>239.1</v>
      </c>
      <c r="AD118">
        <v>0</v>
      </c>
      <c r="AE118">
        <v>0</v>
      </c>
      <c r="AF118">
        <v>934.73</v>
      </c>
      <c r="AG118">
        <v>239.1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0</v>
      </c>
      <c r="AP118">
        <v>0</v>
      </c>
      <c r="AQ118">
        <v>1</v>
      </c>
      <c r="AR118">
        <v>0</v>
      </c>
      <c r="AT118">
        <v>0.19950000000000001</v>
      </c>
      <c r="AV118">
        <v>0</v>
      </c>
      <c r="AW118">
        <v>2</v>
      </c>
      <c r="AX118">
        <v>51868260</v>
      </c>
      <c r="AY118">
        <v>1</v>
      </c>
      <c r="AZ118">
        <v>0</v>
      </c>
      <c r="BA118">
        <v>128</v>
      </c>
      <c r="BB118">
        <v>1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186.478635</v>
      </c>
      <c r="BL118">
        <v>47.700449999999996</v>
      </c>
      <c r="BM118">
        <v>0</v>
      </c>
      <c r="BN118">
        <v>0</v>
      </c>
      <c r="BO118">
        <v>0</v>
      </c>
      <c r="BP118">
        <v>1</v>
      </c>
      <c r="BQ118">
        <v>0</v>
      </c>
      <c r="BR118">
        <v>186.478635</v>
      </c>
      <c r="BS118">
        <v>47.700449999999996</v>
      </c>
      <c r="BT118">
        <v>0</v>
      </c>
      <c r="BU118">
        <v>0</v>
      </c>
      <c r="BV118">
        <v>0</v>
      </c>
      <c r="BW118">
        <v>1</v>
      </c>
      <c r="CX118">
        <f>Y118*Source!I63</f>
        <v>2.4997349999999998</v>
      </c>
      <c r="CY118">
        <f>AB118</f>
        <v>934.73</v>
      </c>
      <c r="CZ118">
        <f>AF118</f>
        <v>934.73</v>
      </c>
      <c r="DA118">
        <f>AJ118</f>
        <v>1</v>
      </c>
      <c r="DB118">
        <f t="shared" si="12"/>
        <v>186.48</v>
      </c>
      <c r="DC118">
        <f t="shared" si="13"/>
        <v>47.7</v>
      </c>
    </row>
  </sheetData>
  <printOptions gridLines="1"/>
  <pageMargins left="0.75" right="0.75" top="1" bottom="1" header="0.5" footer="0.5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128"/>
  <sheetViews>
    <sheetView workbookViewId="0"/>
  </sheetViews>
  <sheetFormatPr defaultColWidth="9.140625" defaultRowHeight="12.75" x14ac:dyDescent="0.2"/>
  <sheetData>
    <row r="1" spans="1:44" x14ac:dyDescent="0.2">
      <c r="A1">
        <f>ROW(Source!A24)</f>
        <v>24</v>
      </c>
      <c r="B1">
        <v>51868248</v>
      </c>
      <c r="C1">
        <v>51866866</v>
      </c>
      <c r="D1">
        <v>23131263</v>
      </c>
      <c r="E1">
        <v>1</v>
      </c>
      <c r="F1">
        <v>1</v>
      </c>
      <c r="G1">
        <v>1</v>
      </c>
      <c r="H1">
        <v>1</v>
      </c>
      <c r="I1" t="s">
        <v>999</v>
      </c>
      <c r="K1" t="s">
        <v>1000</v>
      </c>
      <c r="L1">
        <v>1369</v>
      </c>
      <c r="N1">
        <v>1013</v>
      </c>
      <c r="O1" t="s">
        <v>71</v>
      </c>
      <c r="P1" t="s">
        <v>71</v>
      </c>
      <c r="Q1">
        <v>1</v>
      </c>
      <c r="X1">
        <v>128.72999999999999</v>
      </c>
      <c r="Y1">
        <v>0</v>
      </c>
      <c r="Z1">
        <v>0</v>
      </c>
      <c r="AA1">
        <v>0</v>
      </c>
      <c r="AB1">
        <v>7.63</v>
      </c>
      <c r="AC1">
        <v>0</v>
      </c>
      <c r="AD1">
        <v>1</v>
      </c>
      <c r="AE1">
        <v>1</v>
      </c>
      <c r="AG1">
        <v>128.72999999999999</v>
      </c>
      <c r="AH1">
        <v>2</v>
      </c>
      <c r="AI1">
        <v>51868248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51868249</v>
      </c>
      <c r="C2">
        <v>51866866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96</v>
      </c>
      <c r="K2" t="s">
        <v>1001</v>
      </c>
      <c r="L2">
        <v>608254</v>
      </c>
      <c r="N2">
        <v>1013</v>
      </c>
      <c r="O2" t="s">
        <v>1002</v>
      </c>
      <c r="P2" t="s">
        <v>1002</v>
      </c>
      <c r="Q2">
        <v>1</v>
      </c>
      <c r="X2">
        <v>2.15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G2">
        <v>2.15</v>
      </c>
      <c r="AH2">
        <v>2</v>
      </c>
      <c r="AI2">
        <v>51868249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51868250</v>
      </c>
      <c r="C3">
        <v>51866866</v>
      </c>
      <c r="D3">
        <v>39127752</v>
      </c>
      <c r="E3">
        <v>1</v>
      </c>
      <c r="F3">
        <v>1</v>
      </c>
      <c r="G3">
        <v>1</v>
      </c>
      <c r="H3">
        <v>2</v>
      </c>
      <c r="I3" t="s">
        <v>1003</v>
      </c>
      <c r="J3" t="s">
        <v>1004</v>
      </c>
      <c r="K3" t="s">
        <v>1005</v>
      </c>
      <c r="L3">
        <v>1368</v>
      </c>
      <c r="N3">
        <v>1011</v>
      </c>
      <c r="O3" t="s">
        <v>1006</v>
      </c>
      <c r="P3" t="s">
        <v>1006</v>
      </c>
      <c r="Q3">
        <v>1</v>
      </c>
      <c r="X3">
        <v>0.7</v>
      </c>
      <c r="Y3">
        <v>0</v>
      </c>
      <c r="Z3">
        <v>32.090000000000003</v>
      </c>
      <c r="AA3">
        <v>12.1</v>
      </c>
      <c r="AB3">
        <v>0</v>
      </c>
      <c r="AC3">
        <v>0</v>
      </c>
      <c r="AD3">
        <v>1</v>
      </c>
      <c r="AE3">
        <v>0</v>
      </c>
      <c r="AG3">
        <v>0.7</v>
      </c>
      <c r="AH3">
        <v>2</v>
      </c>
      <c r="AI3">
        <v>51868250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ROW(Source!A24)</f>
        <v>24</v>
      </c>
      <c r="B4">
        <v>51868251</v>
      </c>
      <c r="C4">
        <v>51866866</v>
      </c>
      <c r="D4">
        <v>39127873</v>
      </c>
      <c r="E4">
        <v>1</v>
      </c>
      <c r="F4">
        <v>1</v>
      </c>
      <c r="G4">
        <v>1</v>
      </c>
      <c r="H4">
        <v>2</v>
      </c>
      <c r="I4" t="s">
        <v>1007</v>
      </c>
      <c r="J4" t="s">
        <v>1008</v>
      </c>
      <c r="K4" t="s">
        <v>1009</v>
      </c>
      <c r="L4">
        <v>1368</v>
      </c>
      <c r="N4">
        <v>1011</v>
      </c>
      <c r="O4" t="s">
        <v>1006</v>
      </c>
      <c r="P4" t="s">
        <v>1006</v>
      </c>
      <c r="Q4">
        <v>1</v>
      </c>
      <c r="X4">
        <v>1.45</v>
      </c>
      <c r="Y4">
        <v>0</v>
      </c>
      <c r="Z4">
        <v>59.38</v>
      </c>
      <c r="AA4">
        <v>9</v>
      </c>
      <c r="AB4">
        <v>0</v>
      </c>
      <c r="AC4">
        <v>0</v>
      </c>
      <c r="AD4">
        <v>1</v>
      </c>
      <c r="AE4">
        <v>0</v>
      </c>
      <c r="AG4">
        <v>1.45</v>
      </c>
      <c r="AH4">
        <v>2</v>
      </c>
      <c r="AI4">
        <v>51868251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ROW(Source!A24)</f>
        <v>24</v>
      </c>
      <c r="B5">
        <v>51868252</v>
      </c>
      <c r="C5">
        <v>51866866</v>
      </c>
      <c r="D5">
        <v>39129269</v>
      </c>
      <c r="E5">
        <v>1</v>
      </c>
      <c r="F5">
        <v>1</v>
      </c>
      <c r="G5">
        <v>1</v>
      </c>
      <c r="H5">
        <v>2</v>
      </c>
      <c r="I5" t="s">
        <v>1010</v>
      </c>
      <c r="J5" t="s">
        <v>1011</v>
      </c>
      <c r="K5" t="s">
        <v>1012</v>
      </c>
      <c r="L5">
        <v>1368</v>
      </c>
      <c r="N5">
        <v>1011</v>
      </c>
      <c r="O5" t="s">
        <v>1006</v>
      </c>
      <c r="P5" t="s">
        <v>1006</v>
      </c>
      <c r="Q5">
        <v>1</v>
      </c>
      <c r="X5">
        <v>2.89</v>
      </c>
      <c r="Y5">
        <v>0</v>
      </c>
      <c r="Z5">
        <v>1.69</v>
      </c>
      <c r="AA5">
        <v>0</v>
      </c>
      <c r="AB5">
        <v>0</v>
      </c>
      <c r="AC5">
        <v>0</v>
      </c>
      <c r="AD5">
        <v>1</v>
      </c>
      <c r="AE5">
        <v>0</v>
      </c>
      <c r="AG5">
        <v>2.89</v>
      </c>
      <c r="AH5">
        <v>2</v>
      </c>
      <c r="AI5">
        <v>51868252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ROW(Source!A24)</f>
        <v>24</v>
      </c>
      <c r="B6">
        <v>51868253</v>
      </c>
      <c r="C6">
        <v>51866866</v>
      </c>
      <c r="D6">
        <v>39117962</v>
      </c>
      <c r="E6">
        <v>1</v>
      </c>
      <c r="F6">
        <v>1</v>
      </c>
      <c r="G6">
        <v>1</v>
      </c>
      <c r="H6">
        <v>3</v>
      </c>
      <c r="I6" t="s">
        <v>1013</v>
      </c>
      <c r="J6" t="s">
        <v>1014</v>
      </c>
      <c r="K6" t="s">
        <v>98</v>
      </c>
      <c r="L6">
        <v>1348</v>
      </c>
      <c r="N6">
        <v>1009</v>
      </c>
      <c r="O6" t="s">
        <v>99</v>
      </c>
      <c r="P6" t="s">
        <v>99</v>
      </c>
      <c r="Q6">
        <v>1000</v>
      </c>
      <c r="X6">
        <v>10.66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G6">
        <v>10.66</v>
      </c>
      <c r="AH6">
        <v>2</v>
      </c>
      <c r="AI6">
        <v>51868253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ROW(Source!A25)</f>
        <v>25</v>
      </c>
      <c r="B7">
        <v>51868248</v>
      </c>
      <c r="C7">
        <v>51866866</v>
      </c>
      <c r="D7">
        <v>23131263</v>
      </c>
      <c r="E7">
        <v>1</v>
      </c>
      <c r="F7">
        <v>1</v>
      </c>
      <c r="G7">
        <v>1</v>
      </c>
      <c r="H7">
        <v>1</v>
      </c>
      <c r="I7" t="s">
        <v>999</v>
      </c>
      <c r="K7" t="s">
        <v>1000</v>
      </c>
      <c r="L7">
        <v>1369</v>
      </c>
      <c r="N7">
        <v>1013</v>
      </c>
      <c r="O7" t="s">
        <v>71</v>
      </c>
      <c r="P7" t="s">
        <v>71</v>
      </c>
      <c r="Q7">
        <v>1</v>
      </c>
      <c r="X7">
        <v>128.72999999999999</v>
      </c>
      <c r="Y7">
        <v>0</v>
      </c>
      <c r="Z7">
        <v>0</v>
      </c>
      <c r="AA7">
        <v>0</v>
      </c>
      <c r="AB7">
        <v>150.6</v>
      </c>
      <c r="AC7">
        <v>0</v>
      </c>
      <c r="AD7">
        <v>1</v>
      </c>
      <c r="AE7">
        <v>1</v>
      </c>
      <c r="AG7">
        <v>128.72999999999999</v>
      </c>
      <c r="AH7">
        <v>2</v>
      </c>
      <c r="AI7">
        <v>51868248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ROW(Source!A25)</f>
        <v>25</v>
      </c>
      <c r="B8">
        <v>51868249</v>
      </c>
      <c r="C8">
        <v>51866866</v>
      </c>
      <c r="D8">
        <v>121548</v>
      </c>
      <c r="E8">
        <v>1</v>
      </c>
      <c r="F8">
        <v>1</v>
      </c>
      <c r="G8">
        <v>1</v>
      </c>
      <c r="H8">
        <v>1</v>
      </c>
      <c r="I8" t="s">
        <v>96</v>
      </c>
      <c r="K8" t="s">
        <v>1001</v>
      </c>
      <c r="L8">
        <v>608254</v>
      </c>
      <c r="N8">
        <v>1013</v>
      </c>
      <c r="O8" t="s">
        <v>1002</v>
      </c>
      <c r="P8" t="s">
        <v>1002</v>
      </c>
      <c r="Q8">
        <v>1</v>
      </c>
      <c r="X8">
        <v>2.15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2</v>
      </c>
      <c r="AG8">
        <v>2.15</v>
      </c>
      <c r="AH8">
        <v>2</v>
      </c>
      <c r="AI8">
        <v>51868249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ROW(Source!A25)</f>
        <v>25</v>
      </c>
      <c r="B9">
        <v>51868250</v>
      </c>
      <c r="C9">
        <v>51866866</v>
      </c>
      <c r="D9">
        <v>39127752</v>
      </c>
      <c r="E9">
        <v>1</v>
      </c>
      <c r="F9">
        <v>1</v>
      </c>
      <c r="G9">
        <v>1</v>
      </c>
      <c r="H9">
        <v>2</v>
      </c>
      <c r="I9" t="s">
        <v>1003</v>
      </c>
      <c r="J9" t="s">
        <v>1004</v>
      </c>
      <c r="K9" t="s">
        <v>1005</v>
      </c>
      <c r="L9">
        <v>1368</v>
      </c>
      <c r="N9">
        <v>1011</v>
      </c>
      <c r="O9" t="s">
        <v>1006</v>
      </c>
      <c r="P9" t="s">
        <v>1006</v>
      </c>
      <c r="Q9">
        <v>1</v>
      </c>
      <c r="X9">
        <v>0.7</v>
      </c>
      <c r="Y9">
        <v>0</v>
      </c>
      <c r="Z9">
        <v>308.94</v>
      </c>
      <c r="AA9">
        <v>239.1</v>
      </c>
      <c r="AB9">
        <v>0</v>
      </c>
      <c r="AC9">
        <v>0</v>
      </c>
      <c r="AD9">
        <v>1</v>
      </c>
      <c r="AE9">
        <v>0</v>
      </c>
      <c r="AG9">
        <v>0.7</v>
      </c>
      <c r="AH9">
        <v>2</v>
      </c>
      <c r="AI9">
        <v>51868250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ROW(Source!A25)</f>
        <v>25</v>
      </c>
      <c r="B10">
        <v>51868251</v>
      </c>
      <c r="C10">
        <v>51866866</v>
      </c>
      <c r="D10">
        <v>39127873</v>
      </c>
      <c r="E10">
        <v>1</v>
      </c>
      <c r="F10">
        <v>1</v>
      </c>
      <c r="G10">
        <v>1</v>
      </c>
      <c r="H10">
        <v>2</v>
      </c>
      <c r="I10" t="s">
        <v>1007</v>
      </c>
      <c r="J10" t="s">
        <v>1008</v>
      </c>
      <c r="K10" t="s">
        <v>1009</v>
      </c>
      <c r="L10">
        <v>1368</v>
      </c>
      <c r="N10">
        <v>1011</v>
      </c>
      <c r="O10" t="s">
        <v>1006</v>
      </c>
      <c r="P10" t="s">
        <v>1006</v>
      </c>
      <c r="Q10">
        <v>1</v>
      </c>
      <c r="X10">
        <v>1.45</v>
      </c>
      <c r="Y10">
        <v>0</v>
      </c>
      <c r="Z10">
        <v>550.02</v>
      </c>
      <c r="AA10">
        <v>177.84</v>
      </c>
      <c r="AB10">
        <v>0</v>
      </c>
      <c r="AC10">
        <v>0</v>
      </c>
      <c r="AD10">
        <v>1</v>
      </c>
      <c r="AE10">
        <v>0</v>
      </c>
      <c r="AG10">
        <v>1.45</v>
      </c>
      <c r="AH10">
        <v>2</v>
      </c>
      <c r="AI10">
        <v>51868251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ROW(Source!A25)</f>
        <v>25</v>
      </c>
      <c r="B11">
        <v>51868252</v>
      </c>
      <c r="C11">
        <v>51866866</v>
      </c>
      <c r="D11">
        <v>39129269</v>
      </c>
      <c r="E11">
        <v>1</v>
      </c>
      <c r="F11">
        <v>1</v>
      </c>
      <c r="G11">
        <v>1</v>
      </c>
      <c r="H11">
        <v>2</v>
      </c>
      <c r="I11" t="s">
        <v>1010</v>
      </c>
      <c r="J11" t="s">
        <v>1011</v>
      </c>
      <c r="K11" t="s">
        <v>1012</v>
      </c>
      <c r="L11">
        <v>1368</v>
      </c>
      <c r="N11">
        <v>1011</v>
      </c>
      <c r="O11" t="s">
        <v>1006</v>
      </c>
      <c r="P11" t="s">
        <v>1006</v>
      </c>
      <c r="Q11">
        <v>1</v>
      </c>
      <c r="X11">
        <v>2.89</v>
      </c>
      <c r="Y11">
        <v>0</v>
      </c>
      <c r="Z11">
        <v>5.39</v>
      </c>
      <c r="AA11">
        <v>0</v>
      </c>
      <c r="AB11">
        <v>0</v>
      </c>
      <c r="AC11">
        <v>0</v>
      </c>
      <c r="AD11">
        <v>1</v>
      </c>
      <c r="AE11">
        <v>0</v>
      </c>
      <c r="AG11">
        <v>2.89</v>
      </c>
      <c r="AH11">
        <v>2</v>
      </c>
      <c r="AI11">
        <v>51868252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ROW(Source!A25)</f>
        <v>25</v>
      </c>
      <c r="B12">
        <v>51868253</v>
      </c>
      <c r="C12">
        <v>51866866</v>
      </c>
      <c r="D12">
        <v>39117962</v>
      </c>
      <c r="E12">
        <v>1</v>
      </c>
      <c r="F12">
        <v>1</v>
      </c>
      <c r="G12">
        <v>1</v>
      </c>
      <c r="H12">
        <v>3</v>
      </c>
      <c r="I12" t="s">
        <v>1013</v>
      </c>
      <c r="J12" t="s">
        <v>1014</v>
      </c>
      <c r="K12" t="s">
        <v>98</v>
      </c>
      <c r="L12">
        <v>1348</v>
      </c>
      <c r="N12">
        <v>1009</v>
      </c>
      <c r="O12" t="s">
        <v>99</v>
      </c>
      <c r="P12" t="s">
        <v>99</v>
      </c>
      <c r="Q12">
        <v>1000</v>
      </c>
      <c r="X12">
        <v>10.66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G12">
        <v>10.66</v>
      </c>
      <c r="AH12">
        <v>2</v>
      </c>
      <c r="AI12">
        <v>51868253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ROW(Source!A26)</f>
        <v>26</v>
      </c>
      <c r="B13">
        <v>51868254</v>
      </c>
      <c r="C13">
        <v>51866881</v>
      </c>
      <c r="D13">
        <v>23131038</v>
      </c>
      <c r="E13">
        <v>1</v>
      </c>
      <c r="F13">
        <v>1</v>
      </c>
      <c r="G13">
        <v>1</v>
      </c>
      <c r="H13">
        <v>1</v>
      </c>
      <c r="I13" t="s">
        <v>1015</v>
      </c>
      <c r="K13" t="s">
        <v>1016</v>
      </c>
      <c r="L13">
        <v>1369</v>
      </c>
      <c r="N13">
        <v>1013</v>
      </c>
      <c r="O13" t="s">
        <v>71</v>
      </c>
      <c r="P13" t="s">
        <v>71</v>
      </c>
      <c r="Q13">
        <v>1</v>
      </c>
      <c r="X13">
        <v>46.11</v>
      </c>
      <c r="Y13">
        <v>0</v>
      </c>
      <c r="Z13">
        <v>0</v>
      </c>
      <c r="AA13">
        <v>0</v>
      </c>
      <c r="AB13">
        <v>7.49</v>
      </c>
      <c r="AC13">
        <v>0</v>
      </c>
      <c r="AD13">
        <v>1</v>
      </c>
      <c r="AE13">
        <v>1</v>
      </c>
      <c r="AG13">
        <v>46.11</v>
      </c>
      <c r="AH13">
        <v>2</v>
      </c>
      <c r="AI13">
        <v>51868254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ROW(Source!A26)</f>
        <v>26</v>
      </c>
      <c r="B14">
        <v>51868255</v>
      </c>
      <c r="C14">
        <v>51866881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96</v>
      </c>
      <c r="K14" t="s">
        <v>1001</v>
      </c>
      <c r="L14">
        <v>608254</v>
      </c>
      <c r="N14">
        <v>1013</v>
      </c>
      <c r="O14" t="s">
        <v>1002</v>
      </c>
      <c r="P14" t="s">
        <v>1002</v>
      </c>
      <c r="Q14">
        <v>1</v>
      </c>
      <c r="X14">
        <v>0.93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G14">
        <v>0.93</v>
      </c>
      <c r="AH14">
        <v>2</v>
      </c>
      <c r="AI14">
        <v>51868255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ROW(Source!A26)</f>
        <v>26</v>
      </c>
      <c r="B15">
        <v>51868256</v>
      </c>
      <c r="C15">
        <v>51866881</v>
      </c>
      <c r="D15">
        <v>39127752</v>
      </c>
      <c r="E15">
        <v>1</v>
      </c>
      <c r="F15">
        <v>1</v>
      </c>
      <c r="G15">
        <v>1</v>
      </c>
      <c r="H15">
        <v>2</v>
      </c>
      <c r="I15" t="s">
        <v>1003</v>
      </c>
      <c r="J15" t="s">
        <v>1004</v>
      </c>
      <c r="K15" t="s">
        <v>1005</v>
      </c>
      <c r="L15">
        <v>1368</v>
      </c>
      <c r="N15">
        <v>1011</v>
      </c>
      <c r="O15" t="s">
        <v>1006</v>
      </c>
      <c r="P15" t="s">
        <v>1006</v>
      </c>
      <c r="Q15">
        <v>1</v>
      </c>
      <c r="X15">
        <v>0.93</v>
      </c>
      <c r="Y15">
        <v>0</v>
      </c>
      <c r="Z15">
        <v>32.090000000000003</v>
      </c>
      <c r="AA15">
        <v>12.1</v>
      </c>
      <c r="AB15">
        <v>0</v>
      </c>
      <c r="AC15">
        <v>0</v>
      </c>
      <c r="AD15">
        <v>1</v>
      </c>
      <c r="AE15">
        <v>0</v>
      </c>
      <c r="AG15">
        <v>0.93</v>
      </c>
      <c r="AH15">
        <v>2</v>
      </c>
      <c r="AI15">
        <v>51868256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ROW(Source!A26)</f>
        <v>26</v>
      </c>
      <c r="B16">
        <v>51868257</v>
      </c>
      <c r="C16">
        <v>51866881</v>
      </c>
      <c r="D16">
        <v>39117962</v>
      </c>
      <c r="E16">
        <v>1</v>
      </c>
      <c r="F16">
        <v>1</v>
      </c>
      <c r="G16">
        <v>1</v>
      </c>
      <c r="H16">
        <v>3</v>
      </c>
      <c r="I16" t="s">
        <v>1013</v>
      </c>
      <c r="J16" t="s">
        <v>1014</v>
      </c>
      <c r="K16" t="s">
        <v>98</v>
      </c>
      <c r="L16">
        <v>1348</v>
      </c>
      <c r="N16">
        <v>1009</v>
      </c>
      <c r="O16" t="s">
        <v>99</v>
      </c>
      <c r="P16" t="s">
        <v>99</v>
      </c>
      <c r="Q16">
        <v>1000</v>
      </c>
      <c r="X16">
        <v>3.42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G16">
        <v>3.42</v>
      </c>
      <c r="AH16">
        <v>2</v>
      </c>
      <c r="AI16">
        <v>51868257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ROW(Source!A27)</f>
        <v>27</v>
      </c>
      <c r="B17">
        <v>51868254</v>
      </c>
      <c r="C17">
        <v>51866881</v>
      </c>
      <c r="D17">
        <v>23131038</v>
      </c>
      <c r="E17">
        <v>1</v>
      </c>
      <c r="F17">
        <v>1</v>
      </c>
      <c r="G17">
        <v>1</v>
      </c>
      <c r="H17">
        <v>1</v>
      </c>
      <c r="I17" t="s">
        <v>1015</v>
      </c>
      <c r="K17" t="s">
        <v>1016</v>
      </c>
      <c r="L17">
        <v>1369</v>
      </c>
      <c r="N17">
        <v>1013</v>
      </c>
      <c r="O17" t="s">
        <v>71</v>
      </c>
      <c r="P17" t="s">
        <v>71</v>
      </c>
      <c r="Q17">
        <v>1</v>
      </c>
      <c r="X17">
        <v>46.11</v>
      </c>
      <c r="Y17">
        <v>0</v>
      </c>
      <c r="Z17">
        <v>0</v>
      </c>
      <c r="AA17">
        <v>0</v>
      </c>
      <c r="AB17">
        <v>147.82</v>
      </c>
      <c r="AC17">
        <v>0</v>
      </c>
      <c r="AD17">
        <v>1</v>
      </c>
      <c r="AE17">
        <v>1</v>
      </c>
      <c r="AG17">
        <v>46.11</v>
      </c>
      <c r="AH17">
        <v>2</v>
      </c>
      <c r="AI17">
        <v>51868254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ROW(Source!A27)</f>
        <v>27</v>
      </c>
      <c r="B18">
        <v>51868255</v>
      </c>
      <c r="C18">
        <v>51866881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96</v>
      </c>
      <c r="K18" t="s">
        <v>1001</v>
      </c>
      <c r="L18">
        <v>608254</v>
      </c>
      <c r="N18">
        <v>1013</v>
      </c>
      <c r="O18" t="s">
        <v>1002</v>
      </c>
      <c r="P18" t="s">
        <v>1002</v>
      </c>
      <c r="Q18">
        <v>1</v>
      </c>
      <c r="X18">
        <v>0.93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G18">
        <v>0.93</v>
      </c>
      <c r="AH18">
        <v>2</v>
      </c>
      <c r="AI18">
        <v>51868255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ROW(Source!A27)</f>
        <v>27</v>
      </c>
      <c r="B19">
        <v>51868256</v>
      </c>
      <c r="C19">
        <v>51866881</v>
      </c>
      <c r="D19">
        <v>39127752</v>
      </c>
      <c r="E19">
        <v>1</v>
      </c>
      <c r="F19">
        <v>1</v>
      </c>
      <c r="G19">
        <v>1</v>
      </c>
      <c r="H19">
        <v>2</v>
      </c>
      <c r="I19" t="s">
        <v>1003</v>
      </c>
      <c r="J19" t="s">
        <v>1004</v>
      </c>
      <c r="K19" t="s">
        <v>1005</v>
      </c>
      <c r="L19">
        <v>1368</v>
      </c>
      <c r="N19">
        <v>1011</v>
      </c>
      <c r="O19" t="s">
        <v>1006</v>
      </c>
      <c r="P19" t="s">
        <v>1006</v>
      </c>
      <c r="Q19">
        <v>1</v>
      </c>
      <c r="X19">
        <v>0.93</v>
      </c>
      <c r="Y19">
        <v>0</v>
      </c>
      <c r="Z19">
        <v>308.94</v>
      </c>
      <c r="AA19">
        <v>239.1</v>
      </c>
      <c r="AB19">
        <v>0</v>
      </c>
      <c r="AC19">
        <v>0</v>
      </c>
      <c r="AD19">
        <v>1</v>
      </c>
      <c r="AE19">
        <v>0</v>
      </c>
      <c r="AG19">
        <v>0.93</v>
      </c>
      <c r="AH19">
        <v>2</v>
      </c>
      <c r="AI19">
        <v>51868256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ROW(Source!A27)</f>
        <v>27</v>
      </c>
      <c r="B20">
        <v>51868257</v>
      </c>
      <c r="C20">
        <v>51866881</v>
      </c>
      <c r="D20">
        <v>39117962</v>
      </c>
      <c r="E20">
        <v>1</v>
      </c>
      <c r="F20">
        <v>1</v>
      </c>
      <c r="G20">
        <v>1</v>
      </c>
      <c r="H20">
        <v>3</v>
      </c>
      <c r="I20" t="s">
        <v>1013</v>
      </c>
      <c r="J20" t="s">
        <v>1014</v>
      </c>
      <c r="K20" t="s">
        <v>98</v>
      </c>
      <c r="L20">
        <v>1348</v>
      </c>
      <c r="N20">
        <v>1009</v>
      </c>
      <c r="O20" t="s">
        <v>99</v>
      </c>
      <c r="P20" t="s">
        <v>99</v>
      </c>
      <c r="Q20">
        <v>1000</v>
      </c>
      <c r="X20">
        <v>3.42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G20">
        <v>3.42</v>
      </c>
      <c r="AH20">
        <v>2</v>
      </c>
      <c r="AI20">
        <v>51868257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ROW(Source!A28)</f>
        <v>28</v>
      </c>
      <c r="B21">
        <v>51868240</v>
      </c>
      <c r="C21">
        <v>51866892</v>
      </c>
      <c r="D21">
        <v>23132522</v>
      </c>
      <c r="E21">
        <v>1</v>
      </c>
      <c r="F21">
        <v>1</v>
      </c>
      <c r="G21">
        <v>1</v>
      </c>
      <c r="H21">
        <v>1</v>
      </c>
      <c r="I21" t="s">
        <v>1017</v>
      </c>
      <c r="K21" t="s">
        <v>1018</v>
      </c>
      <c r="L21">
        <v>1369</v>
      </c>
      <c r="N21">
        <v>1013</v>
      </c>
      <c r="O21" t="s">
        <v>71</v>
      </c>
      <c r="P21" t="s">
        <v>71</v>
      </c>
      <c r="Q21">
        <v>1</v>
      </c>
      <c r="X21">
        <v>275.60000000000002</v>
      </c>
      <c r="Y21">
        <v>0</v>
      </c>
      <c r="Z21">
        <v>0</v>
      </c>
      <c r="AA21">
        <v>0</v>
      </c>
      <c r="AB21">
        <v>7.18</v>
      </c>
      <c r="AC21">
        <v>0</v>
      </c>
      <c r="AD21">
        <v>1</v>
      </c>
      <c r="AE21">
        <v>1</v>
      </c>
      <c r="AG21">
        <v>275.60000000000002</v>
      </c>
      <c r="AH21">
        <v>2</v>
      </c>
      <c r="AI21">
        <v>51868240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ROW(Source!A28)</f>
        <v>28</v>
      </c>
      <c r="B22">
        <v>51868241</v>
      </c>
      <c r="C22">
        <v>51866892</v>
      </c>
      <c r="D22">
        <v>121548</v>
      </c>
      <c r="E22">
        <v>1</v>
      </c>
      <c r="F22">
        <v>1</v>
      </c>
      <c r="G22">
        <v>1</v>
      </c>
      <c r="H22">
        <v>1</v>
      </c>
      <c r="I22" t="s">
        <v>96</v>
      </c>
      <c r="K22" t="s">
        <v>1001</v>
      </c>
      <c r="L22">
        <v>608254</v>
      </c>
      <c r="N22">
        <v>1013</v>
      </c>
      <c r="O22" t="s">
        <v>1002</v>
      </c>
      <c r="P22" t="s">
        <v>1002</v>
      </c>
      <c r="Q22">
        <v>1</v>
      </c>
      <c r="X22">
        <v>1.58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2</v>
      </c>
      <c r="AG22">
        <v>1.58</v>
      </c>
      <c r="AH22">
        <v>2</v>
      </c>
      <c r="AI22">
        <v>51868241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ROW(Source!A28)</f>
        <v>28</v>
      </c>
      <c r="B23">
        <v>51868242</v>
      </c>
      <c r="C23">
        <v>51866892</v>
      </c>
      <c r="D23">
        <v>39127873</v>
      </c>
      <c r="E23">
        <v>1</v>
      </c>
      <c r="F23">
        <v>1</v>
      </c>
      <c r="G23">
        <v>1</v>
      </c>
      <c r="H23">
        <v>2</v>
      </c>
      <c r="I23" t="s">
        <v>1007</v>
      </c>
      <c r="J23" t="s">
        <v>1008</v>
      </c>
      <c r="K23" t="s">
        <v>1009</v>
      </c>
      <c r="L23">
        <v>1368</v>
      </c>
      <c r="N23">
        <v>1011</v>
      </c>
      <c r="O23" t="s">
        <v>1006</v>
      </c>
      <c r="P23" t="s">
        <v>1006</v>
      </c>
      <c r="Q23">
        <v>1</v>
      </c>
      <c r="X23">
        <v>1.58</v>
      </c>
      <c r="Y23">
        <v>0</v>
      </c>
      <c r="Z23">
        <v>59.38</v>
      </c>
      <c r="AA23">
        <v>9</v>
      </c>
      <c r="AB23">
        <v>0</v>
      </c>
      <c r="AC23">
        <v>0</v>
      </c>
      <c r="AD23">
        <v>1</v>
      </c>
      <c r="AE23">
        <v>0</v>
      </c>
      <c r="AG23">
        <v>1.58</v>
      </c>
      <c r="AH23">
        <v>2</v>
      </c>
      <c r="AI23">
        <v>51868242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ROW(Source!A28)</f>
        <v>28</v>
      </c>
      <c r="B24">
        <v>51868243</v>
      </c>
      <c r="C24">
        <v>51866892</v>
      </c>
      <c r="D24">
        <v>39129269</v>
      </c>
      <c r="E24">
        <v>1</v>
      </c>
      <c r="F24">
        <v>1</v>
      </c>
      <c r="G24">
        <v>1</v>
      </c>
      <c r="H24">
        <v>2</v>
      </c>
      <c r="I24" t="s">
        <v>1010</v>
      </c>
      <c r="J24" t="s">
        <v>1011</v>
      </c>
      <c r="K24" t="s">
        <v>1012</v>
      </c>
      <c r="L24">
        <v>1368</v>
      </c>
      <c r="N24">
        <v>1011</v>
      </c>
      <c r="O24" t="s">
        <v>1006</v>
      </c>
      <c r="P24" t="s">
        <v>1006</v>
      </c>
      <c r="Q24">
        <v>1</v>
      </c>
      <c r="X24">
        <v>3.16</v>
      </c>
      <c r="Y24">
        <v>0</v>
      </c>
      <c r="Z24">
        <v>1.69</v>
      </c>
      <c r="AA24">
        <v>0</v>
      </c>
      <c r="AB24">
        <v>0</v>
      </c>
      <c r="AC24">
        <v>0</v>
      </c>
      <c r="AD24">
        <v>1</v>
      </c>
      <c r="AE24">
        <v>0</v>
      </c>
      <c r="AG24">
        <v>3.16</v>
      </c>
      <c r="AH24">
        <v>2</v>
      </c>
      <c r="AI24">
        <v>51868243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ROW(Source!A28)</f>
        <v>28</v>
      </c>
      <c r="B25">
        <v>51868244</v>
      </c>
      <c r="C25">
        <v>51866892</v>
      </c>
      <c r="D25">
        <v>39117962</v>
      </c>
      <c r="E25">
        <v>1</v>
      </c>
      <c r="F25">
        <v>1</v>
      </c>
      <c r="G25">
        <v>1</v>
      </c>
      <c r="H25">
        <v>3</v>
      </c>
      <c r="I25" t="s">
        <v>1013</v>
      </c>
      <c r="J25" t="s">
        <v>1014</v>
      </c>
      <c r="K25" t="s">
        <v>98</v>
      </c>
      <c r="L25">
        <v>1348</v>
      </c>
      <c r="N25">
        <v>1009</v>
      </c>
      <c r="O25" t="s">
        <v>99</v>
      </c>
      <c r="P25" t="s">
        <v>99</v>
      </c>
      <c r="Q25">
        <v>1000</v>
      </c>
      <c r="X25">
        <v>13.4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G25">
        <v>13.4</v>
      </c>
      <c r="AH25">
        <v>2</v>
      </c>
      <c r="AI25">
        <v>51868244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ROW(Source!A29)</f>
        <v>29</v>
      </c>
      <c r="B26">
        <v>51868240</v>
      </c>
      <c r="C26">
        <v>51866892</v>
      </c>
      <c r="D26">
        <v>23132522</v>
      </c>
      <c r="E26">
        <v>1</v>
      </c>
      <c r="F26">
        <v>1</v>
      </c>
      <c r="G26">
        <v>1</v>
      </c>
      <c r="H26">
        <v>1</v>
      </c>
      <c r="I26" t="s">
        <v>1017</v>
      </c>
      <c r="K26" t="s">
        <v>1018</v>
      </c>
      <c r="L26">
        <v>1369</v>
      </c>
      <c r="N26">
        <v>1013</v>
      </c>
      <c r="O26" t="s">
        <v>71</v>
      </c>
      <c r="P26" t="s">
        <v>71</v>
      </c>
      <c r="Q26">
        <v>1</v>
      </c>
      <c r="X26">
        <v>275.60000000000002</v>
      </c>
      <c r="Y26">
        <v>0</v>
      </c>
      <c r="Z26">
        <v>0</v>
      </c>
      <c r="AA26">
        <v>0</v>
      </c>
      <c r="AB26">
        <v>141.58000000000001</v>
      </c>
      <c r="AC26">
        <v>0</v>
      </c>
      <c r="AD26">
        <v>1</v>
      </c>
      <c r="AE26">
        <v>1</v>
      </c>
      <c r="AG26">
        <v>275.60000000000002</v>
      </c>
      <c r="AH26">
        <v>2</v>
      </c>
      <c r="AI26">
        <v>51868240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ROW(Source!A29)</f>
        <v>29</v>
      </c>
      <c r="B27">
        <v>51868241</v>
      </c>
      <c r="C27">
        <v>51866892</v>
      </c>
      <c r="D27">
        <v>121548</v>
      </c>
      <c r="E27">
        <v>1</v>
      </c>
      <c r="F27">
        <v>1</v>
      </c>
      <c r="G27">
        <v>1</v>
      </c>
      <c r="H27">
        <v>1</v>
      </c>
      <c r="I27" t="s">
        <v>96</v>
      </c>
      <c r="K27" t="s">
        <v>1001</v>
      </c>
      <c r="L27">
        <v>608254</v>
      </c>
      <c r="N27">
        <v>1013</v>
      </c>
      <c r="O27" t="s">
        <v>1002</v>
      </c>
      <c r="P27" t="s">
        <v>1002</v>
      </c>
      <c r="Q27">
        <v>1</v>
      </c>
      <c r="X27">
        <v>1.58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2</v>
      </c>
      <c r="AG27">
        <v>1.58</v>
      </c>
      <c r="AH27">
        <v>2</v>
      </c>
      <c r="AI27">
        <v>51868241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ROW(Source!A29)</f>
        <v>29</v>
      </c>
      <c r="B28">
        <v>51868242</v>
      </c>
      <c r="C28">
        <v>51866892</v>
      </c>
      <c r="D28">
        <v>39127873</v>
      </c>
      <c r="E28">
        <v>1</v>
      </c>
      <c r="F28">
        <v>1</v>
      </c>
      <c r="G28">
        <v>1</v>
      </c>
      <c r="H28">
        <v>2</v>
      </c>
      <c r="I28" t="s">
        <v>1007</v>
      </c>
      <c r="J28" t="s">
        <v>1008</v>
      </c>
      <c r="K28" t="s">
        <v>1009</v>
      </c>
      <c r="L28">
        <v>1368</v>
      </c>
      <c r="N28">
        <v>1011</v>
      </c>
      <c r="O28" t="s">
        <v>1006</v>
      </c>
      <c r="P28" t="s">
        <v>1006</v>
      </c>
      <c r="Q28">
        <v>1</v>
      </c>
      <c r="X28">
        <v>1.58</v>
      </c>
      <c r="Y28">
        <v>0</v>
      </c>
      <c r="Z28">
        <v>550.02</v>
      </c>
      <c r="AA28">
        <v>177.84</v>
      </c>
      <c r="AB28">
        <v>0</v>
      </c>
      <c r="AC28">
        <v>0</v>
      </c>
      <c r="AD28">
        <v>1</v>
      </c>
      <c r="AE28">
        <v>0</v>
      </c>
      <c r="AG28">
        <v>1.58</v>
      </c>
      <c r="AH28">
        <v>2</v>
      </c>
      <c r="AI28">
        <v>51868242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ROW(Source!A29)</f>
        <v>29</v>
      </c>
      <c r="B29">
        <v>51868243</v>
      </c>
      <c r="C29">
        <v>51866892</v>
      </c>
      <c r="D29">
        <v>39129269</v>
      </c>
      <c r="E29">
        <v>1</v>
      </c>
      <c r="F29">
        <v>1</v>
      </c>
      <c r="G29">
        <v>1</v>
      </c>
      <c r="H29">
        <v>2</v>
      </c>
      <c r="I29" t="s">
        <v>1010</v>
      </c>
      <c r="J29" t="s">
        <v>1011</v>
      </c>
      <c r="K29" t="s">
        <v>1012</v>
      </c>
      <c r="L29">
        <v>1368</v>
      </c>
      <c r="N29">
        <v>1011</v>
      </c>
      <c r="O29" t="s">
        <v>1006</v>
      </c>
      <c r="P29" t="s">
        <v>1006</v>
      </c>
      <c r="Q29">
        <v>1</v>
      </c>
      <c r="X29">
        <v>3.16</v>
      </c>
      <c r="Y29">
        <v>0</v>
      </c>
      <c r="Z29">
        <v>5.39</v>
      </c>
      <c r="AA29">
        <v>0</v>
      </c>
      <c r="AB29">
        <v>0</v>
      </c>
      <c r="AC29">
        <v>0</v>
      </c>
      <c r="AD29">
        <v>1</v>
      </c>
      <c r="AE29">
        <v>0</v>
      </c>
      <c r="AG29">
        <v>3.16</v>
      </c>
      <c r="AH29">
        <v>2</v>
      </c>
      <c r="AI29">
        <v>51868243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ROW(Source!A29)</f>
        <v>29</v>
      </c>
      <c r="B30">
        <v>51868244</v>
      </c>
      <c r="C30">
        <v>51866892</v>
      </c>
      <c r="D30">
        <v>39117962</v>
      </c>
      <c r="E30">
        <v>1</v>
      </c>
      <c r="F30">
        <v>1</v>
      </c>
      <c r="G30">
        <v>1</v>
      </c>
      <c r="H30">
        <v>3</v>
      </c>
      <c r="I30" t="s">
        <v>1013</v>
      </c>
      <c r="J30" t="s">
        <v>1014</v>
      </c>
      <c r="K30" t="s">
        <v>98</v>
      </c>
      <c r="L30">
        <v>1348</v>
      </c>
      <c r="N30">
        <v>1009</v>
      </c>
      <c r="O30" t="s">
        <v>99</v>
      </c>
      <c r="P30" t="s">
        <v>99</v>
      </c>
      <c r="Q30">
        <v>1000</v>
      </c>
      <c r="X30">
        <v>13.4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G30">
        <v>13.4</v>
      </c>
      <c r="AH30">
        <v>2</v>
      </c>
      <c r="AI30">
        <v>51868244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ROW(Source!A30)</f>
        <v>30</v>
      </c>
      <c r="B31">
        <v>51868245</v>
      </c>
      <c r="C31">
        <v>51866946</v>
      </c>
      <c r="D31">
        <v>23129555</v>
      </c>
      <c r="E31">
        <v>1</v>
      </c>
      <c r="F31">
        <v>1</v>
      </c>
      <c r="G31">
        <v>1</v>
      </c>
      <c r="H31">
        <v>1</v>
      </c>
      <c r="I31" t="s">
        <v>1019</v>
      </c>
      <c r="K31" t="s">
        <v>1020</v>
      </c>
      <c r="L31">
        <v>1369</v>
      </c>
      <c r="N31">
        <v>1013</v>
      </c>
      <c r="O31" t="s">
        <v>71</v>
      </c>
      <c r="P31" t="s">
        <v>71</v>
      </c>
      <c r="Q31">
        <v>1</v>
      </c>
      <c r="X31">
        <v>9.1</v>
      </c>
      <c r="Y31">
        <v>0</v>
      </c>
      <c r="Z31">
        <v>0</v>
      </c>
      <c r="AA31">
        <v>0</v>
      </c>
      <c r="AB31">
        <v>7.29</v>
      </c>
      <c r="AC31">
        <v>0</v>
      </c>
      <c r="AD31">
        <v>1</v>
      </c>
      <c r="AE31">
        <v>1</v>
      </c>
      <c r="AG31">
        <v>9.1</v>
      </c>
      <c r="AH31">
        <v>2</v>
      </c>
      <c r="AI31">
        <v>51868245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ROW(Source!A30)</f>
        <v>30</v>
      </c>
      <c r="B32">
        <v>51868246</v>
      </c>
      <c r="C32">
        <v>51866946</v>
      </c>
      <c r="D32">
        <v>39127715</v>
      </c>
      <c r="E32">
        <v>1</v>
      </c>
      <c r="F32">
        <v>1</v>
      </c>
      <c r="G32">
        <v>1</v>
      </c>
      <c r="H32">
        <v>2</v>
      </c>
      <c r="I32" t="s">
        <v>1021</v>
      </c>
      <c r="J32" t="s">
        <v>1022</v>
      </c>
      <c r="K32" t="s">
        <v>1023</v>
      </c>
      <c r="L32">
        <v>1368</v>
      </c>
      <c r="N32">
        <v>1011</v>
      </c>
      <c r="O32" t="s">
        <v>1006</v>
      </c>
      <c r="P32" t="s">
        <v>1006</v>
      </c>
      <c r="Q32">
        <v>1</v>
      </c>
      <c r="X32">
        <v>0.12</v>
      </c>
      <c r="Y32">
        <v>0</v>
      </c>
      <c r="Z32">
        <v>1.85</v>
      </c>
      <c r="AA32">
        <v>0</v>
      </c>
      <c r="AB32">
        <v>0</v>
      </c>
      <c r="AC32">
        <v>0</v>
      </c>
      <c r="AD32">
        <v>1</v>
      </c>
      <c r="AE32">
        <v>0</v>
      </c>
      <c r="AG32">
        <v>0.12</v>
      </c>
      <c r="AH32">
        <v>2</v>
      </c>
      <c r="AI32">
        <v>51868246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ROW(Source!A30)</f>
        <v>30</v>
      </c>
      <c r="B33">
        <v>51868247</v>
      </c>
      <c r="C33">
        <v>51866946</v>
      </c>
      <c r="D33">
        <v>39117962</v>
      </c>
      <c r="E33">
        <v>1</v>
      </c>
      <c r="F33">
        <v>1</v>
      </c>
      <c r="G33">
        <v>1</v>
      </c>
      <c r="H33">
        <v>3</v>
      </c>
      <c r="I33" t="s">
        <v>1013</v>
      </c>
      <c r="J33" t="s">
        <v>1014</v>
      </c>
      <c r="K33" t="s">
        <v>98</v>
      </c>
      <c r="L33">
        <v>1348</v>
      </c>
      <c r="N33">
        <v>1009</v>
      </c>
      <c r="O33" t="s">
        <v>99</v>
      </c>
      <c r="P33" t="s">
        <v>99</v>
      </c>
      <c r="Q33">
        <v>1000</v>
      </c>
      <c r="X33">
        <v>0.12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G33">
        <v>0.12</v>
      </c>
      <c r="AH33">
        <v>2</v>
      </c>
      <c r="AI33">
        <v>51868247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ROW(Source!A31)</f>
        <v>31</v>
      </c>
      <c r="B34">
        <v>51868245</v>
      </c>
      <c r="C34">
        <v>51866946</v>
      </c>
      <c r="D34">
        <v>23129555</v>
      </c>
      <c r="E34">
        <v>1</v>
      </c>
      <c r="F34">
        <v>1</v>
      </c>
      <c r="G34">
        <v>1</v>
      </c>
      <c r="H34">
        <v>1</v>
      </c>
      <c r="I34" t="s">
        <v>1019</v>
      </c>
      <c r="K34" t="s">
        <v>1020</v>
      </c>
      <c r="L34">
        <v>1369</v>
      </c>
      <c r="N34">
        <v>1013</v>
      </c>
      <c r="O34" t="s">
        <v>71</v>
      </c>
      <c r="P34" t="s">
        <v>71</v>
      </c>
      <c r="Q34">
        <v>1</v>
      </c>
      <c r="X34">
        <v>9.1</v>
      </c>
      <c r="Y34">
        <v>0</v>
      </c>
      <c r="Z34">
        <v>0</v>
      </c>
      <c r="AA34">
        <v>0</v>
      </c>
      <c r="AB34">
        <v>143.84</v>
      </c>
      <c r="AC34">
        <v>0</v>
      </c>
      <c r="AD34">
        <v>1</v>
      </c>
      <c r="AE34">
        <v>1</v>
      </c>
      <c r="AG34">
        <v>9.1</v>
      </c>
      <c r="AH34">
        <v>2</v>
      </c>
      <c r="AI34">
        <v>51868245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ROW(Source!A31)</f>
        <v>31</v>
      </c>
      <c r="B35">
        <v>51868246</v>
      </c>
      <c r="C35">
        <v>51866946</v>
      </c>
      <c r="D35">
        <v>39127715</v>
      </c>
      <c r="E35">
        <v>1</v>
      </c>
      <c r="F35">
        <v>1</v>
      </c>
      <c r="G35">
        <v>1</v>
      </c>
      <c r="H35">
        <v>2</v>
      </c>
      <c r="I35" t="s">
        <v>1021</v>
      </c>
      <c r="J35" t="s">
        <v>1022</v>
      </c>
      <c r="K35" t="s">
        <v>1023</v>
      </c>
      <c r="L35">
        <v>1368</v>
      </c>
      <c r="N35">
        <v>1011</v>
      </c>
      <c r="O35" t="s">
        <v>1006</v>
      </c>
      <c r="P35" t="s">
        <v>1006</v>
      </c>
      <c r="Q35">
        <v>1</v>
      </c>
      <c r="X35">
        <v>0.12</v>
      </c>
      <c r="Y35">
        <v>0</v>
      </c>
      <c r="Z35">
        <v>7.55</v>
      </c>
      <c r="AA35">
        <v>0</v>
      </c>
      <c r="AB35">
        <v>0</v>
      </c>
      <c r="AC35">
        <v>0</v>
      </c>
      <c r="AD35">
        <v>1</v>
      </c>
      <c r="AE35">
        <v>0</v>
      </c>
      <c r="AG35">
        <v>0.12</v>
      </c>
      <c r="AH35">
        <v>2</v>
      </c>
      <c r="AI35">
        <v>51868246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ROW(Source!A31)</f>
        <v>31</v>
      </c>
      <c r="B36">
        <v>51868247</v>
      </c>
      <c r="C36">
        <v>51866946</v>
      </c>
      <c r="D36">
        <v>39117962</v>
      </c>
      <c r="E36">
        <v>1</v>
      </c>
      <c r="F36">
        <v>1</v>
      </c>
      <c r="G36">
        <v>1</v>
      </c>
      <c r="H36">
        <v>3</v>
      </c>
      <c r="I36" t="s">
        <v>1013</v>
      </c>
      <c r="J36" t="s">
        <v>1014</v>
      </c>
      <c r="K36" t="s">
        <v>98</v>
      </c>
      <c r="L36">
        <v>1348</v>
      </c>
      <c r="N36">
        <v>1009</v>
      </c>
      <c r="O36" t="s">
        <v>99</v>
      </c>
      <c r="P36" t="s">
        <v>99</v>
      </c>
      <c r="Q36">
        <v>1000</v>
      </c>
      <c r="X36">
        <v>0.12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G36">
        <v>0.12</v>
      </c>
      <c r="AH36">
        <v>2</v>
      </c>
      <c r="AI36">
        <v>51868247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ROW(Source!A32)</f>
        <v>32</v>
      </c>
      <c r="B37">
        <v>51866968</v>
      </c>
      <c r="C37">
        <v>51866955</v>
      </c>
      <c r="D37">
        <v>23134955</v>
      </c>
      <c r="E37">
        <v>1</v>
      </c>
      <c r="F37">
        <v>1</v>
      </c>
      <c r="G37">
        <v>1</v>
      </c>
      <c r="H37">
        <v>1</v>
      </c>
      <c r="I37" t="s">
        <v>1024</v>
      </c>
      <c r="K37" t="s">
        <v>1025</v>
      </c>
      <c r="L37">
        <v>1369</v>
      </c>
      <c r="N37">
        <v>1013</v>
      </c>
      <c r="O37" t="s">
        <v>71</v>
      </c>
      <c r="P37" t="s">
        <v>71</v>
      </c>
      <c r="Q37">
        <v>1</v>
      </c>
      <c r="X37">
        <v>149.16</v>
      </c>
      <c r="Y37">
        <v>0</v>
      </c>
      <c r="Z37">
        <v>0</v>
      </c>
      <c r="AA37">
        <v>0</v>
      </c>
      <c r="AB37">
        <v>153.43</v>
      </c>
      <c r="AC37">
        <v>0</v>
      </c>
      <c r="AD37">
        <v>1</v>
      </c>
      <c r="AE37">
        <v>1</v>
      </c>
      <c r="AF37" t="s">
        <v>821</v>
      </c>
      <c r="AG37">
        <v>171.53399999999999</v>
      </c>
      <c r="AH37">
        <v>2</v>
      </c>
      <c r="AI37">
        <v>51866965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ROW(Source!A32)</f>
        <v>32</v>
      </c>
      <c r="B38">
        <v>51866969</v>
      </c>
      <c r="C38">
        <v>51866955</v>
      </c>
      <c r="D38">
        <v>121548</v>
      </c>
      <c r="E38">
        <v>1</v>
      </c>
      <c r="F38">
        <v>1</v>
      </c>
      <c r="G38">
        <v>1</v>
      </c>
      <c r="H38">
        <v>1</v>
      </c>
      <c r="I38" t="s">
        <v>96</v>
      </c>
      <c r="K38" t="s">
        <v>1001</v>
      </c>
      <c r="L38">
        <v>608254</v>
      </c>
      <c r="N38">
        <v>1013</v>
      </c>
      <c r="O38" t="s">
        <v>1002</v>
      </c>
      <c r="P38" t="s">
        <v>1002</v>
      </c>
      <c r="Q38">
        <v>1</v>
      </c>
      <c r="X38">
        <v>0.66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2</v>
      </c>
      <c r="AF38" t="s">
        <v>820</v>
      </c>
      <c r="AG38">
        <v>0.82499999999999996</v>
      </c>
      <c r="AH38">
        <v>2</v>
      </c>
      <c r="AI38">
        <v>51866966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ROW(Source!A32)</f>
        <v>32</v>
      </c>
      <c r="B39">
        <v>51866970</v>
      </c>
      <c r="C39">
        <v>51866955</v>
      </c>
      <c r="D39">
        <v>39127752</v>
      </c>
      <c r="E39">
        <v>1</v>
      </c>
      <c r="F39">
        <v>1</v>
      </c>
      <c r="G39">
        <v>1</v>
      </c>
      <c r="H39">
        <v>2</v>
      </c>
      <c r="I39" t="s">
        <v>1003</v>
      </c>
      <c r="J39" t="s">
        <v>1004</v>
      </c>
      <c r="K39" t="s">
        <v>1005</v>
      </c>
      <c r="L39">
        <v>1368</v>
      </c>
      <c r="N39">
        <v>1011</v>
      </c>
      <c r="O39" t="s">
        <v>1006</v>
      </c>
      <c r="P39" t="s">
        <v>1006</v>
      </c>
      <c r="Q39">
        <v>1</v>
      </c>
      <c r="X39">
        <v>0.66</v>
      </c>
      <c r="Y39">
        <v>0</v>
      </c>
      <c r="Z39">
        <v>299.41000000000003</v>
      </c>
      <c r="AA39">
        <v>229.54</v>
      </c>
      <c r="AB39">
        <v>0</v>
      </c>
      <c r="AC39">
        <v>0</v>
      </c>
      <c r="AD39">
        <v>1</v>
      </c>
      <c r="AE39">
        <v>0</v>
      </c>
      <c r="AF39" t="s">
        <v>820</v>
      </c>
      <c r="AG39">
        <v>0.82499999999999996</v>
      </c>
      <c r="AH39">
        <v>2</v>
      </c>
      <c r="AI39">
        <v>51866967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ROW(Source!A32)</f>
        <v>32</v>
      </c>
      <c r="B40">
        <v>51866971</v>
      </c>
      <c r="C40">
        <v>51866955</v>
      </c>
      <c r="D40">
        <v>39128477</v>
      </c>
      <c r="E40">
        <v>1</v>
      </c>
      <c r="F40">
        <v>1</v>
      </c>
      <c r="G40">
        <v>1</v>
      </c>
      <c r="H40">
        <v>2</v>
      </c>
      <c r="I40" t="s">
        <v>1026</v>
      </c>
      <c r="J40" t="s">
        <v>1027</v>
      </c>
      <c r="K40" t="s">
        <v>1028</v>
      </c>
      <c r="L40">
        <v>1368</v>
      </c>
      <c r="N40">
        <v>1011</v>
      </c>
      <c r="O40" t="s">
        <v>1006</v>
      </c>
      <c r="P40" t="s">
        <v>1006</v>
      </c>
      <c r="Q40">
        <v>1</v>
      </c>
      <c r="X40">
        <v>13.21</v>
      </c>
      <c r="Y40">
        <v>0</v>
      </c>
      <c r="Z40">
        <v>11.05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820</v>
      </c>
      <c r="AG40">
        <v>16.512499999999999</v>
      </c>
      <c r="AH40">
        <v>2</v>
      </c>
      <c r="AI40">
        <v>51866956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ROW(Source!A32)</f>
        <v>32</v>
      </c>
      <c r="B41">
        <v>51866972</v>
      </c>
      <c r="C41">
        <v>51866955</v>
      </c>
      <c r="D41">
        <v>39129310</v>
      </c>
      <c r="E41">
        <v>1</v>
      </c>
      <c r="F41">
        <v>1</v>
      </c>
      <c r="G41">
        <v>1</v>
      </c>
      <c r="H41">
        <v>2</v>
      </c>
      <c r="I41" t="s">
        <v>1029</v>
      </c>
      <c r="J41" t="s">
        <v>1030</v>
      </c>
      <c r="K41" t="s">
        <v>1031</v>
      </c>
      <c r="L41">
        <v>1368</v>
      </c>
      <c r="N41">
        <v>1011</v>
      </c>
      <c r="O41" t="s">
        <v>1006</v>
      </c>
      <c r="P41" t="s">
        <v>1006</v>
      </c>
      <c r="Q41">
        <v>1</v>
      </c>
      <c r="X41">
        <v>20.350000000000001</v>
      </c>
      <c r="Y41">
        <v>0</v>
      </c>
      <c r="Z41">
        <v>7.6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820</v>
      </c>
      <c r="AG41">
        <v>25.4375</v>
      </c>
      <c r="AH41">
        <v>2</v>
      </c>
      <c r="AI41">
        <v>51866957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ROW(Source!A32)</f>
        <v>32</v>
      </c>
      <c r="B42">
        <v>51866973</v>
      </c>
      <c r="C42">
        <v>51866955</v>
      </c>
      <c r="D42">
        <v>39129630</v>
      </c>
      <c r="E42">
        <v>1</v>
      </c>
      <c r="F42">
        <v>1</v>
      </c>
      <c r="G42">
        <v>1</v>
      </c>
      <c r="H42">
        <v>2</v>
      </c>
      <c r="I42" t="s">
        <v>1032</v>
      </c>
      <c r="J42" t="s">
        <v>1033</v>
      </c>
      <c r="K42" t="s">
        <v>1034</v>
      </c>
      <c r="L42">
        <v>1368</v>
      </c>
      <c r="N42">
        <v>1011</v>
      </c>
      <c r="O42" t="s">
        <v>1006</v>
      </c>
      <c r="P42" t="s">
        <v>1006</v>
      </c>
      <c r="Q42">
        <v>1</v>
      </c>
      <c r="X42">
        <v>3.57</v>
      </c>
      <c r="Y42">
        <v>0</v>
      </c>
      <c r="Z42">
        <v>772.82</v>
      </c>
      <c r="AA42">
        <v>196.34</v>
      </c>
      <c r="AB42">
        <v>0</v>
      </c>
      <c r="AC42">
        <v>0</v>
      </c>
      <c r="AD42">
        <v>1</v>
      </c>
      <c r="AE42">
        <v>0</v>
      </c>
      <c r="AF42" t="s">
        <v>820</v>
      </c>
      <c r="AG42">
        <v>4.4625000000000004</v>
      </c>
      <c r="AH42">
        <v>2</v>
      </c>
      <c r="AI42">
        <v>51866958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ROW(Source!A32)</f>
        <v>32</v>
      </c>
      <c r="B43">
        <v>51866974</v>
      </c>
      <c r="C43">
        <v>51866955</v>
      </c>
      <c r="D43">
        <v>39058207</v>
      </c>
      <c r="E43">
        <v>1</v>
      </c>
      <c r="F43">
        <v>1</v>
      </c>
      <c r="G43">
        <v>1</v>
      </c>
      <c r="H43">
        <v>3</v>
      </c>
      <c r="I43" t="s">
        <v>1035</v>
      </c>
      <c r="J43" t="s">
        <v>1036</v>
      </c>
      <c r="K43" t="s">
        <v>1037</v>
      </c>
      <c r="L43">
        <v>1301</v>
      </c>
      <c r="N43">
        <v>1003</v>
      </c>
      <c r="O43" t="s">
        <v>171</v>
      </c>
      <c r="P43" t="s">
        <v>171</v>
      </c>
      <c r="Q43">
        <v>1</v>
      </c>
      <c r="X43">
        <v>253</v>
      </c>
      <c r="Y43">
        <v>16.82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G43">
        <v>253</v>
      </c>
      <c r="AH43">
        <v>2</v>
      </c>
      <c r="AI43">
        <v>51866959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ROW(Source!A32)</f>
        <v>32</v>
      </c>
      <c r="B44">
        <v>51866975</v>
      </c>
      <c r="C44">
        <v>51866955</v>
      </c>
      <c r="D44">
        <v>39058208</v>
      </c>
      <c r="E44">
        <v>1</v>
      </c>
      <c r="F44">
        <v>1</v>
      </c>
      <c r="G44">
        <v>1</v>
      </c>
      <c r="H44">
        <v>3</v>
      </c>
      <c r="I44" t="s">
        <v>1038</v>
      </c>
      <c r="J44" t="s">
        <v>1039</v>
      </c>
      <c r="K44" t="s">
        <v>1040</v>
      </c>
      <c r="L44">
        <v>1301</v>
      </c>
      <c r="N44">
        <v>1003</v>
      </c>
      <c r="O44" t="s">
        <v>171</v>
      </c>
      <c r="P44" t="s">
        <v>171</v>
      </c>
      <c r="Q44">
        <v>1</v>
      </c>
      <c r="X44">
        <v>59</v>
      </c>
      <c r="Y44">
        <v>23.87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G44">
        <v>59</v>
      </c>
      <c r="AH44">
        <v>2</v>
      </c>
      <c r="AI44">
        <v>51866960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ROW(Source!A32)</f>
        <v>32</v>
      </c>
      <c r="B45">
        <v>51866976</v>
      </c>
      <c r="C45">
        <v>51866955</v>
      </c>
      <c r="D45">
        <v>39055947</v>
      </c>
      <c r="E45">
        <v>1</v>
      </c>
      <c r="F45">
        <v>1</v>
      </c>
      <c r="G45">
        <v>1</v>
      </c>
      <c r="H45">
        <v>3</v>
      </c>
      <c r="I45" t="s">
        <v>1041</v>
      </c>
      <c r="J45" t="s">
        <v>1042</v>
      </c>
      <c r="K45" t="s">
        <v>1043</v>
      </c>
      <c r="L45">
        <v>1354</v>
      </c>
      <c r="N45">
        <v>1010</v>
      </c>
      <c r="O45" t="s">
        <v>527</v>
      </c>
      <c r="P45" t="s">
        <v>527</v>
      </c>
      <c r="Q45">
        <v>1</v>
      </c>
      <c r="X45">
        <v>71</v>
      </c>
      <c r="Y45">
        <v>223.91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G45">
        <v>71</v>
      </c>
      <c r="AH45">
        <v>2</v>
      </c>
      <c r="AI45">
        <v>51866961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ROW(Source!A32)</f>
        <v>32</v>
      </c>
      <c r="B46">
        <v>51866977</v>
      </c>
      <c r="C46">
        <v>51866955</v>
      </c>
      <c r="D46">
        <v>39058210</v>
      </c>
      <c r="E46">
        <v>1</v>
      </c>
      <c r="F46">
        <v>1</v>
      </c>
      <c r="G46">
        <v>1</v>
      </c>
      <c r="H46">
        <v>3</v>
      </c>
      <c r="I46" t="s">
        <v>1044</v>
      </c>
      <c r="J46" t="s">
        <v>1045</v>
      </c>
      <c r="K46" t="s">
        <v>1046</v>
      </c>
      <c r="L46">
        <v>1301</v>
      </c>
      <c r="N46">
        <v>1003</v>
      </c>
      <c r="O46" t="s">
        <v>171</v>
      </c>
      <c r="P46" t="s">
        <v>171</v>
      </c>
      <c r="Q46">
        <v>1</v>
      </c>
      <c r="X46">
        <v>159</v>
      </c>
      <c r="Y46">
        <v>18.829999999999998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G46">
        <v>159</v>
      </c>
      <c r="AH46">
        <v>2</v>
      </c>
      <c r="AI46">
        <v>51866962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ROW(Source!A32)</f>
        <v>32</v>
      </c>
      <c r="B47">
        <v>51866978</v>
      </c>
      <c r="C47">
        <v>51866955</v>
      </c>
      <c r="D47">
        <v>39062196</v>
      </c>
      <c r="E47">
        <v>1</v>
      </c>
      <c r="F47">
        <v>1</v>
      </c>
      <c r="G47">
        <v>1</v>
      </c>
      <c r="H47">
        <v>3</v>
      </c>
      <c r="I47" t="s">
        <v>1047</v>
      </c>
      <c r="J47" t="s">
        <v>1048</v>
      </c>
      <c r="K47" t="s">
        <v>1049</v>
      </c>
      <c r="L47">
        <v>1358</v>
      </c>
      <c r="N47">
        <v>1010</v>
      </c>
      <c r="O47" t="s">
        <v>1050</v>
      </c>
      <c r="P47" t="s">
        <v>1050</v>
      </c>
      <c r="Q47">
        <v>10</v>
      </c>
      <c r="X47">
        <v>41.2</v>
      </c>
      <c r="Y47">
        <v>17.43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G47">
        <v>41.2</v>
      </c>
      <c r="AH47">
        <v>2</v>
      </c>
      <c r="AI47">
        <v>51866963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ROW(Source!A32)</f>
        <v>32</v>
      </c>
      <c r="B48">
        <v>51866979</v>
      </c>
      <c r="C48">
        <v>51866955</v>
      </c>
      <c r="D48">
        <v>39062985</v>
      </c>
      <c r="E48">
        <v>1</v>
      </c>
      <c r="F48">
        <v>1</v>
      </c>
      <c r="G48">
        <v>1</v>
      </c>
      <c r="H48">
        <v>3</v>
      </c>
      <c r="I48" t="s">
        <v>1051</v>
      </c>
      <c r="J48" t="s">
        <v>1052</v>
      </c>
      <c r="K48" t="s">
        <v>1053</v>
      </c>
      <c r="L48">
        <v>1354</v>
      </c>
      <c r="N48">
        <v>1010</v>
      </c>
      <c r="O48" t="s">
        <v>527</v>
      </c>
      <c r="P48" t="s">
        <v>527</v>
      </c>
      <c r="Q48">
        <v>1</v>
      </c>
      <c r="X48">
        <v>800</v>
      </c>
      <c r="Y48">
        <v>2.23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G48">
        <v>800</v>
      </c>
      <c r="AH48">
        <v>2</v>
      </c>
      <c r="AI48">
        <v>51866964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ROW(Source!A32)</f>
        <v>32</v>
      </c>
      <c r="B49">
        <v>51866980</v>
      </c>
      <c r="C49">
        <v>51866955</v>
      </c>
      <c r="D49">
        <v>39077053</v>
      </c>
      <c r="E49">
        <v>1</v>
      </c>
      <c r="F49">
        <v>1</v>
      </c>
      <c r="G49">
        <v>1</v>
      </c>
      <c r="H49">
        <v>3</v>
      </c>
      <c r="I49" t="s">
        <v>1093</v>
      </c>
      <c r="J49" t="s">
        <v>1094</v>
      </c>
      <c r="K49" t="s">
        <v>1095</v>
      </c>
      <c r="L49">
        <v>1327</v>
      </c>
      <c r="N49">
        <v>1005</v>
      </c>
      <c r="O49" t="s">
        <v>117</v>
      </c>
      <c r="P49" t="s">
        <v>117</v>
      </c>
      <c r="Q49">
        <v>1</v>
      </c>
      <c r="X49">
        <v>100</v>
      </c>
      <c r="Y49">
        <v>2500.6999999999998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G49">
        <v>100</v>
      </c>
      <c r="AH49">
        <v>3</v>
      </c>
      <c r="AI49">
        <v>-1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ROW(Source!A33)</f>
        <v>33</v>
      </c>
      <c r="B50">
        <v>51866968</v>
      </c>
      <c r="C50">
        <v>51866955</v>
      </c>
      <c r="D50">
        <v>23134955</v>
      </c>
      <c r="E50">
        <v>1</v>
      </c>
      <c r="F50">
        <v>1</v>
      </c>
      <c r="G50">
        <v>1</v>
      </c>
      <c r="H50">
        <v>1</v>
      </c>
      <c r="I50" t="s">
        <v>1024</v>
      </c>
      <c r="K50" t="s">
        <v>1025</v>
      </c>
      <c r="L50">
        <v>1369</v>
      </c>
      <c r="N50">
        <v>1013</v>
      </c>
      <c r="O50" t="s">
        <v>71</v>
      </c>
      <c r="P50" t="s">
        <v>71</v>
      </c>
      <c r="Q50">
        <v>1</v>
      </c>
      <c r="X50">
        <v>149.16</v>
      </c>
      <c r="Y50">
        <v>0</v>
      </c>
      <c r="Z50">
        <v>0</v>
      </c>
      <c r="AA50">
        <v>0</v>
      </c>
      <c r="AB50">
        <v>153.43</v>
      </c>
      <c r="AC50">
        <v>0</v>
      </c>
      <c r="AD50">
        <v>1</v>
      </c>
      <c r="AE50">
        <v>1</v>
      </c>
      <c r="AF50" t="s">
        <v>821</v>
      </c>
      <c r="AG50">
        <v>171.53399999999999</v>
      </c>
      <c r="AH50">
        <v>2</v>
      </c>
      <c r="AI50">
        <v>51866965</v>
      </c>
      <c r="AJ50">
        <v>49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ROW(Source!A33)</f>
        <v>33</v>
      </c>
      <c r="B51">
        <v>51866969</v>
      </c>
      <c r="C51">
        <v>51866955</v>
      </c>
      <c r="D51">
        <v>121548</v>
      </c>
      <c r="E51">
        <v>1</v>
      </c>
      <c r="F51">
        <v>1</v>
      </c>
      <c r="G51">
        <v>1</v>
      </c>
      <c r="H51">
        <v>1</v>
      </c>
      <c r="I51" t="s">
        <v>96</v>
      </c>
      <c r="K51" t="s">
        <v>1001</v>
      </c>
      <c r="L51">
        <v>608254</v>
      </c>
      <c r="N51">
        <v>1013</v>
      </c>
      <c r="O51" t="s">
        <v>1002</v>
      </c>
      <c r="P51" t="s">
        <v>1002</v>
      </c>
      <c r="Q51">
        <v>1</v>
      </c>
      <c r="X51">
        <v>0.66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2</v>
      </c>
      <c r="AF51" t="s">
        <v>820</v>
      </c>
      <c r="AG51">
        <v>0.82499999999999996</v>
      </c>
      <c r="AH51">
        <v>2</v>
      </c>
      <c r="AI51">
        <v>51866966</v>
      </c>
      <c r="AJ51">
        <v>50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ROW(Source!A33)</f>
        <v>33</v>
      </c>
      <c r="B52">
        <v>51866970</v>
      </c>
      <c r="C52">
        <v>51866955</v>
      </c>
      <c r="D52">
        <v>39127752</v>
      </c>
      <c r="E52">
        <v>1</v>
      </c>
      <c r="F52">
        <v>1</v>
      </c>
      <c r="G52">
        <v>1</v>
      </c>
      <c r="H52">
        <v>2</v>
      </c>
      <c r="I52" t="s">
        <v>1003</v>
      </c>
      <c r="J52" t="s">
        <v>1004</v>
      </c>
      <c r="K52" t="s">
        <v>1005</v>
      </c>
      <c r="L52">
        <v>1368</v>
      </c>
      <c r="N52">
        <v>1011</v>
      </c>
      <c r="O52" t="s">
        <v>1006</v>
      </c>
      <c r="P52" t="s">
        <v>1006</v>
      </c>
      <c r="Q52">
        <v>1</v>
      </c>
      <c r="X52">
        <v>0.66</v>
      </c>
      <c r="Y52">
        <v>0</v>
      </c>
      <c r="Z52">
        <v>308.94</v>
      </c>
      <c r="AA52">
        <v>239.1</v>
      </c>
      <c r="AB52">
        <v>0</v>
      </c>
      <c r="AC52">
        <v>0</v>
      </c>
      <c r="AD52">
        <v>1</v>
      </c>
      <c r="AE52">
        <v>0</v>
      </c>
      <c r="AF52" t="s">
        <v>820</v>
      </c>
      <c r="AG52">
        <v>0.82499999999999996</v>
      </c>
      <c r="AH52">
        <v>2</v>
      </c>
      <c r="AI52">
        <v>51866967</v>
      </c>
      <c r="AJ52">
        <v>51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ROW(Source!A33)</f>
        <v>33</v>
      </c>
      <c r="B53">
        <v>51866971</v>
      </c>
      <c r="C53">
        <v>51866955</v>
      </c>
      <c r="D53">
        <v>39128477</v>
      </c>
      <c r="E53">
        <v>1</v>
      </c>
      <c r="F53">
        <v>1</v>
      </c>
      <c r="G53">
        <v>1</v>
      </c>
      <c r="H53">
        <v>2</v>
      </c>
      <c r="I53" t="s">
        <v>1026</v>
      </c>
      <c r="J53" t="s">
        <v>1027</v>
      </c>
      <c r="K53" t="s">
        <v>1028</v>
      </c>
      <c r="L53">
        <v>1368</v>
      </c>
      <c r="N53">
        <v>1011</v>
      </c>
      <c r="O53" t="s">
        <v>1006</v>
      </c>
      <c r="P53" t="s">
        <v>1006</v>
      </c>
      <c r="Q53">
        <v>1</v>
      </c>
      <c r="X53">
        <v>13.21</v>
      </c>
      <c r="Y53">
        <v>0</v>
      </c>
      <c r="Z53">
        <v>11.42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820</v>
      </c>
      <c r="AG53">
        <v>16.512499999999999</v>
      </c>
      <c r="AH53">
        <v>2</v>
      </c>
      <c r="AI53">
        <v>51866956</v>
      </c>
      <c r="AJ53">
        <v>52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ROW(Source!A33)</f>
        <v>33</v>
      </c>
      <c r="B54">
        <v>51866972</v>
      </c>
      <c r="C54">
        <v>51866955</v>
      </c>
      <c r="D54">
        <v>39129310</v>
      </c>
      <c r="E54">
        <v>1</v>
      </c>
      <c r="F54">
        <v>1</v>
      </c>
      <c r="G54">
        <v>1</v>
      </c>
      <c r="H54">
        <v>2</v>
      </c>
      <c r="I54" t="s">
        <v>1029</v>
      </c>
      <c r="J54" t="s">
        <v>1030</v>
      </c>
      <c r="K54" t="s">
        <v>1031</v>
      </c>
      <c r="L54">
        <v>1368</v>
      </c>
      <c r="N54">
        <v>1011</v>
      </c>
      <c r="O54" t="s">
        <v>1006</v>
      </c>
      <c r="P54" t="s">
        <v>1006</v>
      </c>
      <c r="Q54">
        <v>1</v>
      </c>
      <c r="X54">
        <v>20.350000000000001</v>
      </c>
      <c r="Y54">
        <v>0</v>
      </c>
      <c r="Z54">
        <v>7.67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820</v>
      </c>
      <c r="AG54">
        <v>25.4375</v>
      </c>
      <c r="AH54">
        <v>2</v>
      </c>
      <c r="AI54">
        <v>51866957</v>
      </c>
      <c r="AJ54">
        <v>53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ROW(Source!A33)</f>
        <v>33</v>
      </c>
      <c r="B55">
        <v>51866973</v>
      </c>
      <c r="C55">
        <v>51866955</v>
      </c>
      <c r="D55">
        <v>39129630</v>
      </c>
      <c r="E55">
        <v>1</v>
      </c>
      <c r="F55">
        <v>1</v>
      </c>
      <c r="G55">
        <v>1</v>
      </c>
      <c r="H55">
        <v>2</v>
      </c>
      <c r="I55" t="s">
        <v>1032</v>
      </c>
      <c r="J55" t="s">
        <v>1033</v>
      </c>
      <c r="K55" t="s">
        <v>1034</v>
      </c>
      <c r="L55">
        <v>1368</v>
      </c>
      <c r="N55">
        <v>1011</v>
      </c>
      <c r="O55" t="s">
        <v>1006</v>
      </c>
      <c r="P55" t="s">
        <v>1006</v>
      </c>
      <c r="Q55">
        <v>1</v>
      </c>
      <c r="X55">
        <v>3.57</v>
      </c>
      <c r="Y55">
        <v>0</v>
      </c>
      <c r="Z55">
        <v>800.28</v>
      </c>
      <c r="AA55">
        <v>204.52</v>
      </c>
      <c r="AB55">
        <v>0</v>
      </c>
      <c r="AC55">
        <v>0</v>
      </c>
      <c r="AD55">
        <v>1</v>
      </c>
      <c r="AE55">
        <v>0</v>
      </c>
      <c r="AF55" t="s">
        <v>820</v>
      </c>
      <c r="AG55">
        <v>4.4625000000000004</v>
      </c>
      <c r="AH55">
        <v>2</v>
      </c>
      <c r="AI55">
        <v>51866958</v>
      </c>
      <c r="AJ55">
        <v>54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ROW(Source!A33)</f>
        <v>33</v>
      </c>
      <c r="B56">
        <v>51866974</v>
      </c>
      <c r="C56">
        <v>51866955</v>
      </c>
      <c r="D56">
        <v>39058207</v>
      </c>
      <c r="E56">
        <v>1</v>
      </c>
      <c r="F56">
        <v>1</v>
      </c>
      <c r="G56">
        <v>1</v>
      </c>
      <c r="H56">
        <v>3</v>
      </c>
      <c r="I56" t="s">
        <v>1035</v>
      </c>
      <c r="J56" t="s">
        <v>1036</v>
      </c>
      <c r="K56" t="s">
        <v>1037</v>
      </c>
      <c r="L56">
        <v>1301</v>
      </c>
      <c r="N56">
        <v>1003</v>
      </c>
      <c r="O56" t="s">
        <v>171</v>
      </c>
      <c r="P56" t="s">
        <v>171</v>
      </c>
      <c r="Q56">
        <v>1</v>
      </c>
      <c r="X56">
        <v>253</v>
      </c>
      <c r="Y56">
        <v>16.82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G56">
        <v>253</v>
      </c>
      <c r="AH56">
        <v>2</v>
      </c>
      <c r="AI56">
        <v>51866959</v>
      </c>
      <c r="AJ56">
        <v>55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ROW(Source!A33)</f>
        <v>33</v>
      </c>
      <c r="B57">
        <v>51866975</v>
      </c>
      <c r="C57">
        <v>51866955</v>
      </c>
      <c r="D57">
        <v>39058208</v>
      </c>
      <c r="E57">
        <v>1</v>
      </c>
      <c r="F57">
        <v>1</v>
      </c>
      <c r="G57">
        <v>1</v>
      </c>
      <c r="H57">
        <v>3</v>
      </c>
      <c r="I57" t="s">
        <v>1038</v>
      </c>
      <c r="J57" t="s">
        <v>1039</v>
      </c>
      <c r="K57" t="s">
        <v>1040</v>
      </c>
      <c r="L57">
        <v>1301</v>
      </c>
      <c r="N57">
        <v>1003</v>
      </c>
      <c r="O57" t="s">
        <v>171</v>
      </c>
      <c r="P57" t="s">
        <v>171</v>
      </c>
      <c r="Q57">
        <v>1</v>
      </c>
      <c r="X57">
        <v>59</v>
      </c>
      <c r="Y57">
        <v>23.87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G57">
        <v>59</v>
      </c>
      <c r="AH57">
        <v>2</v>
      </c>
      <c r="AI57">
        <v>51866960</v>
      </c>
      <c r="AJ57">
        <v>56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ROW(Source!A33)</f>
        <v>33</v>
      </c>
      <c r="B58">
        <v>51866976</v>
      </c>
      <c r="C58">
        <v>51866955</v>
      </c>
      <c r="D58">
        <v>39055947</v>
      </c>
      <c r="E58">
        <v>1</v>
      </c>
      <c r="F58">
        <v>1</v>
      </c>
      <c r="G58">
        <v>1</v>
      </c>
      <c r="H58">
        <v>3</v>
      </c>
      <c r="I58" t="s">
        <v>1041</v>
      </c>
      <c r="J58" t="s">
        <v>1042</v>
      </c>
      <c r="K58" t="s">
        <v>1043</v>
      </c>
      <c r="L58">
        <v>1354</v>
      </c>
      <c r="N58">
        <v>1010</v>
      </c>
      <c r="O58" t="s">
        <v>527</v>
      </c>
      <c r="P58" t="s">
        <v>527</v>
      </c>
      <c r="Q58">
        <v>1</v>
      </c>
      <c r="X58">
        <v>71</v>
      </c>
      <c r="Y58">
        <v>223.92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G58">
        <v>71</v>
      </c>
      <c r="AH58">
        <v>2</v>
      </c>
      <c r="AI58">
        <v>51866961</v>
      </c>
      <c r="AJ58">
        <v>57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ROW(Source!A33)</f>
        <v>33</v>
      </c>
      <c r="B59">
        <v>51866977</v>
      </c>
      <c r="C59">
        <v>51866955</v>
      </c>
      <c r="D59">
        <v>39058210</v>
      </c>
      <c r="E59">
        <v>1</v>
      </c>
      <c r="F59">
        <v>1</v>
      </c>
      <c r="G59">
        <v>1</v>
      </c>
      <c r="H59">
        <v>3</v>
      </c>
      <c r="I59" t="s">
        <v>1044</v>
      </c>
      <c r="J59" t="s">
        <v>1045</v>
      </c>
      <c r="K59" t="s">
        <v>1046</v>
      </c>
      <c r="L59">
        <v>1301</v>
      </c>
      <c r="N59">
        <v>1003</v>
      </c>
      <c r="O59" t="s">
        <v>171</v>
      </c>
      <c r="P59" t="s">
        <v>171</v>
      </c>
      <c r="Q59">
        <v>1</v>
      </c>
      <c r="X59">
        <v>159</v>
      </c>
      <c r="Y59">
        <v>18.829999999999998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G59">
        <v>159</v>
      </c>
      <c r="AH59">
        <v>2</v>
      </c>
      <c r="AI59">
        <v>51866962</v>
      </c>
      <c r="AJ59">
        <v>58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ROW(Source!A33)</f>
        <v>33</v>
      </c>
      <c r="B60">
        <v>51866978</v>
      </c>
      <c r="C60">
        <v>51866955</v>
      </c>
      <c r="D60">
        <v>39062196</v>
      </c>
      <c r="E60">
        <v>1</v>
      </c>
      <c r="F60">
        <v>1</v>
      </c>
      <c r="G60">
        <v>1</v>
      </c>
      <c r="H60">
        <v>3</v>
      </c>
      <c r="I60" t="s">
        <v>1047</v>
      </c>
      <c r="J60" t="s">
        <v>1048</v>
      </c>
      <c r="K60" t="s">
        <v>1049</v>
      </c>
      <c r="L60">
        <v>1358</v>
      </c>
      <c r="N60">
        <v>1010</v>
      </c>
      <c r="O60" t="s">
        <v>1050</v>
      </c>
      <c r="P60" t="s">
        <v>1050</v>
      </c>
      <c r="Q60">
        <v>10</v>
      </c>
      <c r="X60">
        <v>41.2</v>
      </c>
      <c r="Y60">
        <v>17.440000000000001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G60">
        <v>41.2</v>
      </c>
      <c r="AH60">
        <v>2</v>
      </c>
      <c r="AI60">
        <v>51866963</v>
      </c>
      <c r="AJ60">
        <v>59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ROW(Source!A33)</f>
        <v>33</v>
      </c>
      <c r="B61">
        <v>51866979</v>
      </c>
      <c r="C61">
        <v>51866955</v>
      </c>
      <c r="D61">
        <v>39062985</v>
      </c>
      <c r="E61">
        <v>1</v>
      </c>
      <c r="F61">
        <v>1</v>
      </c>
      <c r="G61">
        <v>1</v>
      </c>
      <c r="H61">
        <v>3</v>
      </c>
      <c r="I61" t="s">
        <v>1051</v>
      </c>
      <c r="J61" t="s">
        <v>1052</v>
      </c>
      <c r="K61" t="s">
        <v>1053</v>
      </c>
      <c r="L61">
        <v>1354</v>
      </c>
      <c r="N61">
        <v>1010</v>
      </c>
      <c r="O61" t="s">
        <v>527</v>
      </c>
      <c r="P61" t="s">
        <v>527</v>
      </c>
      <c r="Q61">
        <v>1</v>
      </c>
      <c r="X61">
        <v>800</v>
      </c>
      <c r="Y61">
        <v>2.23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G61">
        <v>800</v>
      </c>
      <c r="AH61">
        <v>2</v>
      </c>
      <c r="AI61">
        <v>51866964</v>
      </c>
      <c r="AJ61">
        <v>60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ROW(Source!A33)</f>
        <v>33</v>
      </c>
      <c r="B62">
        <v>51866980</v>
      </c>
      <c r="C62">
        <v>51866955</v>
      </c>
      <c r="D62">
        <v>39077053</v>
      </c>
      <c r="E62">
        <v>1</v>
      </c>
      <c r="F62">
        <v>1</v>
      </c>
      <c r="G62">
        <v>1</v>
      </c>
      <c r="H62">
        <v>3</v>
      </c>
      <c r="I62" t="s">
        <v>1093</v>
      </c>
      <c r="J62" t="s">
        <v>1094</v>
      </c>
      <c r="K62" t="s">
        <v>1095</v>
      </c>
      <c r="L62">
        <v>1327</v>
      </c>
      <c r="N62">
        <v>1005</v>
      </c>
      <c r="O62" t="s">
        <v>117</v>
      </c>
      <c r="P62" t="s">
        <v>117</v>
      </c>
      <c r="Q62">
        <v>1</v>
      </c>
      <c r="X62">
        <v>100</v>
      </c>
      <c r="Y62">
        <v>2620.5700000000002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G62">
        <v>100</v>
      </c>
      <c r="AH62">
        <v>3</v>
      </c>
      <c r="AI62">
        <v>-1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ROW(Source!A40)</f>
        <v>40</v>
      </c>
      <c r="B63">
        <v>51867069</v>
      </c>
      <c r="C63">
        <v>51867065</v>
      </c>
      <c r="D63">
        <v>23134955</v>
      </c>
      <c r="E63">
        <v>1</v>
      </c>
      <c r="F63">
        <v>1</v>
      </c>
      <c r="G63">
        <v>1</v>
      </c>
      <c r="H63">
        <v>1</v>
      </c>
      <c r="I63" t="s">
        <v>1024</v>
      </c>
      <c r="K63" t="s">
        <v>1025</v>
      </c>
      <c r="L63">
        <v>1369</v>
      </c>
      <c r="N63">
        <v>1013</v>
      </c>
      <c r="O63" t="s">
        <v>71</v>
      </c>
      <c r="P63" t="s">
        <v>71</v>
      </c>
      <c r="Q63">
        <v>1</v>
      </c>
      <c r="X63">
        <v>44.5</v>
      </c>
      <c r="Y63">
        <v>0</v>
      </c>
      <c r="Z63">
        <v>0</v>
      </c>
      <c r="AA63">
        <v>0</v>
      </c>
      <c r="AB63">
        <v>8.17</v>
      </c>
      <c r="AC63">
        <v>0</v>
      </c>
      <c r="AD63">
        <v>1</v>
      </c>
      <c r="AE63">
        <v>1</v>
      </c>
      <c r="AF63" t="s">
        <v>821</v>
      </c>
      <c r="AG63">
        <v>51.174999999999997</v>
      </c>
      <c r="AH63">
        <v>2</v>
      </c>
      <c r="AI63">
        <v>51867066</v>
      </c>
      <c r="AJ63">
        <v>61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ROW(Source!A40)</f>
        <v>40</v>
      </c>
      <c r="B64">
        <v>51867070</v>
      </c>
      <c r="C64">
        <v>51867065</v>
      </c>
      <c r="D64">
        <v>39128477</v>
      </c>
      <c r="E64">
        <v>1</v>
      </c>
      <c r="F64">
        <v>1</v>
      </c>
      <c r="G64">
        <v>1</v>
      </c>
      <c r="H64">
        <v>2</v>
      </c>
      <c r="I64" t="s">
        <v>1026</v>
      </c>
      <c r="J64" t="s">
        <v>1027</v>
      </c>
      <c r="K64" t="s">
        <v>1028</v>
      </c>
      <c r="L64">
        <v>1368</v>
      </c>
      <c r="N64">
        <v>1011</v>
      </c>
      <c r="O64" t="s">
        <v>1006</v>
      </c>
      <c r="P64" t="s">
        <v>1006</v>
      </c>
      <c r="Q64">
        <v>1</v>
      </c>
      <c r="X64">
        <v>3.2</v>
      </c>
      <c r="Y64">
        <v>0</v>
      </c>
      <c r="Z64">
        <v>1.98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820</v>
      </c>
      <c r="AG64">
        <v>4</v>
      </c>
      <c r="AH64">
        <v>2</v>
      </c>
      <c r="AI64">
        <v>51867067</v>
      </c>
      <c r="AJ64">
        <v>62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ROW(Source!A40)</f>
        <v>40</v>
      </c>
      <c r="B65">
        <v>51867071</v>
      </c>
      <c r="C65">
        <v>51867065</v>
      </c>
      <c r="D65">
        <v>39129630</v>
      </c>
      <c r="E65">
        <v>1</v>
      </c>
      <c r="F65">
        <v>1</v>
      </c>
      <c r="G65">
        <v>1</v>
      </c>
      <c r="H65">
        <v>2</v>
      </c>
      <c r="I65" t="s">
        <v>1032</v>
      </c>
      <c r="J65" t="s">
        <v>1033</v>
      </c>
      <c r="K65" t="s">
        <v>1034</v>
      </c>
      <c r="L65">
        <v>1368</v>
      </c>
      <c r="N65">
        <v>1011</v>
      </c>
      <c r="O65" t="s">
        <v>1006</v>
      </c>
      <c r="P65" t="s">
        <v>1006</v>
      </c>
      <c r="Q65">
        <v>1</v>
      </c>
      <c r="X65">
        <v>0.13</v>
      </c>
      <c r="Y65">
        <v>0</v>
      </c>
      <c r="Z65">
        <v>91.76</v>
      </c>
      <c r="AA65">
        <v>10.35</v>
      </c>
      <c r="AB65">
        <v>0</v>
      </c>
      <c r="AC65">
        <v>0</v>
      </c>
      <c r="AD65">
        <v>1</v>
      </c>
      <c r="AE65">
        <v>0</v>
      </c>
      <c r="AF65" t="s">
        <v>820</v>
      </c>
      <c r="AG65">
        <v>0.16250000000000001</v>
      </c>
      <c r="AH65">
        <v>2</v>
      </c>
      <c r="AI65">
        <v>51867068</v>
      </c>
      <c r="AJ65">
        <v>63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ROW(Source!A40)</f>
        <v>40</v>
      </c>
      <c r="B66">
        <v>51867072</v>
      </c>
      <c r="C66">
        <v>51867065</v>
      </c>
      <c r="D66">
        <v>39062670</v>
      </c>
      <c r="E66">
        <v>1</v>
      </c>
      <c r="F66">
        <v>1</v>
      </c>
      <c r="G66">
        <v>1</v>
      </c>
      <c r="H66">
        <v>3</v>
      </c>
      <c r="I66" t="s">
        <v>1096</v>
      </c>
      <c r="J66" t="s">
        <v>1097</v>
      </c>
      <c r="K66" t="s">
        <v>1098</v>
      </c>
      <c r="L66">
        <v>1035</v>
      </c>
      <c r="N66">
        <v>1013</v>
      </c>
      <c r="O66" t="s">
        <v>841</v>
      </c>
      <c r="P66" t="s">
        <v>841</v>
      </c>
      <c r="Q66">
        <v>1</v>
      </c>
      <c r="X66">
        <v>100</v>
      </c>
      <c r="Y66">
        <v>94.68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G66">
        <v>100</v>
      </c>
      <c r="AH66">
        <v>3</v>
      </c>
      <c r="AI66">
        <v>-1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ROW(Source!A41)</f>
        <v>41</v>
      </c>
      <c r="B67">
        <v>51867069</v>
      </c>
      <c r="C67">
        <v>51867065</v>
      </c>
      <c r="D67">
        <v>23134955</v>
      </c>
      <c r="E67">
        <v>1</v>
      </c>
      <c r="F67">
        <v>1</v>
      </c>
      <c r="G67">
        <v>1</v>
      </c>
      <c r="H67">
        <v>1</v>
      </c>
      <c r="I67" t="s">
        <v>1024</v>
      </c>
      <c r="K67" t="s">
        <v>1025</v>
      </c>
      <c r="L67">
        <v>1369</v>
      </c>
      <c r="N67">
        <v>1013</v>
      </c>
      <c r="O67" t="s">
        <v>71</v>
      </c>
      <c r="P67" t="s">
        <v>71</v>
      </c>
      <c r="Q67">
        <v>1</v>
      </c>
      <c r="X67">
        <v>44.5</v>
      </c>
      <c r="Y67">
        <v>0</v>
      </c>
      <c r="Z67">
        <v>0</v>
      </c>
      <c r="AA67">
        <v>0</v>
      </c>
      <c r="AB67">
        <v>153.43</v>
      </c>
      <c r="AC67">
        <v>0</v>
      </c>
      <c r="AD67">
        <v>1</v>
      </c>
      <c r="AE67">
        <v>1</v>
      </c>
      <c r="AF67" t="s">
        <v>821</v>
      </c>
      <c r="AG67">
        <v>51.174999999999997</v>
      </c>
      <c r="AH67">
        <v>2</v>
      </c>
      <c r="AI67">
        <v>51867066</v>
      </c>
      <c r="AJ67">
        <v>64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ROW(Source!A41)</f>
        <v>41</v>
      </c>
      <c r="B68">
        <v>51867070</v>
      </c>
      <c r="C68">
        <v>51867065</v>
      </c>
      <c r="D68">
        <v>39128477</v>
      </c>
      <c r="E68">
        <v>1</v>
      </c>
      <c r="F68">
        <v>1</v>
      </c>
      <c r="G68">
        <v>1</v>
      </c>
      <c r="H68">
        <v>2</v>
      </c>
      <c r="I68" t="s">
        <v>1026</v>
      </c>
      <c r="J68" t="s">
        <v>1027</v>
      </c>
      <c r="K68" t="s">
        <v>1028</v>
      </c>
      <c r="L68">
        <v>1368</v>
      </c>
      <c r="N68">
        <v>1011</v>
      </c>
      <c r="O68" t="s">
        <v>1006</v>
      </c>
      <c r="P68" t="s">
        <v>1006</v>
      </c>
      <c r="Q68">
        <v>1</v>
      </c>
      <c r="X68">
        <v>3.2</v>
      </c>
      <c r="Y68">
        <v>0</v>
      </c>
      <c r="Z68">
        <v>11.42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820</v>
      </c>
      <c r="AG68">
        <v>4</v>
      </c>
      <c r="AH68">
        <v>2</v>
      </c>
      <c r="AI68">
        <v>51867067</v>
      </c>
      <c r="AJ68">
        <v>65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ROW(Source!A41)</f>
        <v>41</v>
      </c>
      <c r="B69">
        <v>51867071</v>
      </c>
      <c r="C69">
        <v>51867065</v>
      </c>
      <c r="D69">
        <v>39129630</v>
      </c>
      <c r="E69">
        <v>1</v>
      </c>
      <c r="F69">
        <v>1</v>
      </c>
      <c r="G69">
        <v>1</v>
      </c>
      <c r="H69">
        <v>2</v>
      </c>
      <c r="I69" t="s">
        <v>1032</v>
      </c>
      <c r="J69" t="s">
        <v>1033</v>
      </c>
      <c r="K69" t="s">
        <v>1034</v>
      </c>
      <c r="L69">
        <v>1368</v>
      </c>
      <c r="N69">
        <v>1011</v>
      </c>
      <c r="O69" t="s">
        <v>1006</v>
      </c>
      <c r="P69" t="s">
        <v>1006</v>
      </c>
      <c r="Q69">
        <v>1</v>
      </c>
      <c r="X69">
        <v>0.13</v>
      </c>
      <c r="Y69">
        <v>0</v>
      </c>
      <c r="Z69">
        <v>800.28</v>
      </c>
      <c r="AA69">
        <v>204.52</v>
      </c>
      <c r="AB69">
        <v>0</v>
      </c>
      <c r="AC69">
        <v>0</v>
      </c>
      <c r="AD69">
        <v>1</v>
      </c>
      <c r="AE69">
        <v>0</v>
      </c>
      <c r="AF69" t="s">
        <v>820</v>
      </c>
      <c r="AG69">
        <v>0.16250000000000001</v>
      </c>
      <c r="AH69">
        <v>2</v>
      </c>
      <c r="AI69">
        <v>51867068</v>
      </c>
      <c r="AJ69">
        <v>66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ROW(Source!A41)</f>
        <v>41</v>
      </c>
      <c r="B70">
        <v>51867072</v>
      </c>
      <c r="C70">
        <v>51867065</v>
      </c>
      <c r="D70">
        <v>39062670</v>
      </c>
      <c r="E70">
        <v>1</v>
      </c>
      <c r="F70">
        <v>1</v>
      </c>
      <c r="G70">
        <v>1</v>
      </c>
      <c r="H70">
        <v>3</v>
      </c>
      <c r="I70" t="s">
        <v>1096</v>
      </c>
      <c r="J70" t="s">
        <v>1097</v>
      </c>
      <c r="K70" t="s">
        <v>1098</v>
      </c>
      <c r="L70">
        <v>1035</v>
      </c>
      <c r="N70">
        <v>1013</v>
      </c>
      <c r="O70" t="s">
        <v>841</v>
      </c>
      <c r="P70" t="s">
        <v>841</v>
      </c>
      <c r="Q70">
        <v>1</v>
      </c>
      <c r="X70">
        <v>100</v>
      </c>
      <c r="Y70">
        <v>141.13999999999999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G70">
        <v>100</v>
      </c>
      <c r="AH70">
        <v>3</v>
      </c>
      <c r="AI70">
        <v>-1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ROW(Source!A44)</f>
        <v>44</v>
      </c>
      <c r="B71">
        <v>51867081</v>
      </c>
      <c r="C71">
        <v>51867074</v>
      </c>
      <c r="D71">
        <v>23129805</v>
      </c>
      <c r="E71">
        <v>1</v>
      </c>
      <c r="F71">
        <v>1</v>
      </c>
      <c r="G71">
        <v>1</v>
      </c>
      <c r="H71">
        <v>1</v>
      </c>
      <c r="I71" t="s">
        <v>1054</v>
      </c>
      <c r="K71" t="s">
        <v>1055</v>
      </c>
      <c r="L71">
        <v>1369</v>
      </c>
      <c r="N71">
        <v>1013</v>
      </c>
      <c r="O71" t="s">
        <v>71</v>
      </c>
      <c r="P71" t="s">
        <v>71</v>
      </c>
      <c r="Q71">
        <v>1</v>
      </c>
      <c r="X71">
        <v>21.26</v>
      </c>
      <c r="Y71">
        <v>0</v>
      </c>
      <c r="Z71">
        <v>0</v>
      </c>
      <c r="AA71">
        <v>0</v>
      </c>
      <c r="AB71">
        <v>149.68</v>
      </c>
      <c r="AC71">
        <v>0</v>
      </c>
      <c r="AD71">
        <v>1</v>
      </c>
      <c r="AE71">
        <v>1</v>
      </c>
      <c r="AF71" t="s">
        <v>821</v>
      </c>
      <c r="AG71">
        <v>24.449000000000002</v>
      </c>
      <c r="AH71">
        <v>2</v>
      </c>
      <c r="AI71">
        <v>51867075</v>
      </c>
      <c r="AJ71">
        <v>67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ROW(Source!A44)</f>
        <v>44</v>
      </c>
      <c r="B72">
        <v>51867082</v>
      </c>
      <c r="C72">
        <v>51867074</v>
      </c>
      <c r="D72">
        <v>121548</v>
      </c>
      <c r="E72">
        <v>1</v>
      </c>
      <c r="F72">
        <v>1</v>
      </c>
      <c r="G72">
        <v>1</v>
      </c>
      <c r="H72">
        <v>1</v>
      </c>
      <c r="I72" t="s">
        <v>96</v>
      </c>
      <c r="K72" t="s">
        <v>1001</v>
      </c>
      <c r="L72">
        <v>608254</v>
      </c>
      <c r="N72">
        <v>1013</v>
      </c>
      <c r="O72" t="s">
        <v>1002</v>
      </c>
      <c r="P72" t="s">
        <v>1002</v>
      </c>
      <c r="Q72">
        <v>1</v>
      </c>
      <c r="X72">
        <v>0.05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2</v>
      </c>
      <c r="AF72" t="s">
        <v>820</v>
      </c>
      <c r="AG72">
        <v>6.25E-2</v>
      </c>
      <c r="AH72">
        <v>2</v>
      </c>
      <c r="AI72">
        <v>51867076</v>
      </c>
      <c r="AJ72">
        <v>68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ROW(Source!A44)</f>
        <v>44</v>
      </c>
      <c r="B73">
        <v>51867083</v>
      </c>
      <c r="C73">
        <v>51867074</v>
      </c>
      <c r="D73">
        <v>39127752</v>
      </c>
      <c r="E73">
        <v>1</v>
      </c>
      <c r="F73">
        <v>1</v>
      </c>
      <c r="G73">
        <v>1</v>
      </c>
      <c r="H73">
        <v>2</v>
      </c>
      <c r="I73" t="s">
        <v>1003</v>
      </c>
      <c r="J73" t="s">
        <v>1004</v>
      </c>
      <c r="K73" t="s">
        <v>1005</v>
      </c>
      <c r="L73">
        <v>1368</v>
      </c>
      <c r="N73">
        <v>1011</v>
      </c>
      <c r="O73" t="s">
        <v>1006</v>
      </c>
      <c r="P73" t="s">
        <v>1006</v>
      </c>
      <c r="Q73">
        <v>1</v>
      </c>
      <c r="X73">
        <v>0.05</v>
      </c>
      <c r="Y73">
        <v>0</v>
      </c>
      <c r="Z73">
        <v>299.41000000000003</v>
      </c>
      <c r="AA73">
        <v>229.54</v>
      </c>
      <c r="AB73">
        <v>0</v>
      </c>
      <c r="AC73">
        <v>0</v>
      </c>
      <c r="AD73">
        <v>1</v>
      </c>
      <c r="AE73">
        <v>0</v>
      </c>
      <c r="AF73" t="s">
        <v>820</v>
      </c>
      <c r="AG73">
        <v>6.25E-2</v>
      </c>
      <c r="AH73">
        <v>2</v>
      </c>
      <c r="AI73">
        <v>51867077</v>
      </c>
      <c r="AJ73">
        <v>69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ROW(Source!A44)</f>
        <v>44</v>
      </c>
      <c r="B74">
        <v>51867084</v>
      </c>
      <c r="C74">
        <v>51867074</v>
      </c>
      <c r="D74">
        <v>39129630</v>
      </c>
      <c r="E74">
        <v>1</v>
      </c>
      <c r="F74">
        <v>1</v>
      </c>
      <c r="G74">
        <v>1</v>
      </c>
      <c r="H74">
        <v>2</v>
      </c>
      <c r="I74" t="s">
        <v>1032</v>
      </c>
      <c r="J74" t="s">
        <v>1033</v>
      </c>
      <c r="K74" t="s">
        <v>1034</v>
      </c>
      <c r="L74">
        <v>1368</v>
      </c>
      <c r="N74">
        <v>1011</v>
      </c>
      <c r="O74" t="s">
        <v>1006</v>
      </c>
      <c r="P74" t="s">
        <v>1006</v>
      </c>
      <c r="Q74">
        <v>1</v>
      </c>
      <c r="X74">
        <v>0.19</v>
      </c>
      <c r="Y74">
        <v>0</v>
      </c>
      <c r="Z74">
        <v>772.82</v>
      </c>
      <c r="AA74">
        <v>196.34</v>
      </c>
      <c r="AB74">
        <v>0</v>
      </c>
      <c r="AC74">
        <v>0</v>
      </c>
      <c r="AD74">
        <v>1</v>
      </c>
      <c r="AE74">
        <v>0</v>
      </c>
      <c r="AF74" t="s">
        <v>820</v>
      </c>
      <c r="AG74">
        <v>0.23749999999999999</v>
      </c>
      <c r="AH74">
        <v>2</v>
      </c>
      <c r="AI74">
        <v>51867078</v>
      </c>
      <c r="AJ74">
        <v>70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ROW(Source!A44)</f>
        <v>44</v>
      </c>
      <c r="B75">
        <v>51867085</v>
      </c>
      <c r="C75">
        <v>51867074</v>
      </c>
      <c r="D75">
        <v>39055947</v>
      </c>
      <c r="E75">
        <v>1</v>
      </c>
      <c r="F75">
        <v>1</v>
      </c>
      <c r="G75">
        <v>1</v>
      </c>
      <c r="H75">
        <v>3</v>
      </c>
      <c r="I75" t="s">
        <v>1041</v>
      </c>
      <c r="J75" t="s">
        <v>1042</v>
      </c>
      <c r="K75" t="s">
        <v>1043</v>
      </c>
      <c r="L75">
        <v>1354</v>
      </c>
      <c r="N75">
        <v>1010</v>
      </c>
      <c r="O75" t="s">
        <v>527</v>
      </c>
      <c r="P75" t="s">
        <v>527</v>
      </c>
      <c r="Q75">
        <v>1</v>
      </c>
      <c r="X75">
        <v>45.3</v>
      </c>
      <c r="Y75">
        <v>223.91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G75">
        <v>45.3</v>
      </c>
      <c r="AH75">
        <v>2</v>
      </c>
      <c r="AI75">
        <v>51867079</v>
      </c>
      <c r="AJ75">
        <v>71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ROW(Source!A44)</f>
        <v>44</v>
      </c>
      <c r="B76">
        <v>51867086</v>
      </c>
      <c r="C76">
        <v>51867074</v>
      </c>
      <c r="D76">
        <v>39057011</v>
      </c>
      <c r="E76">
        <v>1</v>
      </c>
      <c r="F76">
        <v>1</v>
      </c>
      <c r="G76">
        <v>1</v>
      </c>
      <c r="H76">
        <v>3</v>
      </c>
      <c r="I76" t="s">
        <v>1099</v>
      </c>
      <c r="J76" t="s">
        <v>1100</v>
      </c>
      <c r="K76" t="s">
        <v>1101</v>
      </c>
      <c r="L76">
        <v>1301</v>
      </c>
      <c r="N76">
        <v>1003</v>
      </c>
      <c r="O76" t="s">
        <v>171</v>
      </c>
      <c r="P76" t="s">
        <v>171</v>
      </c>
      <c r="Q76">
        <v>1</v>
      </c>
      <c r="X76">
        <v>0</v>
      </c>
      <c r="Y76">
        <v>0</v>
      </c>
      <c r="Z76">
        <v>0</v>
      </c>
      <c r="AA76">
        <v>0</v>
      </c>
      <c r="AB76">
        <v>0</v>
      </c>
      <c r="AC76">
        <v>1</v>
      </c>
      <c r="AD76">
        <v>0</v>
      </c>
      <c r="AE76">
        <v>0</v>
      </c>
      <c r="AG76">
        <v>0</v>
      </c>
      <c r="AH76">
        <v>3</v>
      </c>
      <c r="AI76">
        <v>-1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ROW(Source!A44)</f>
        <v>44</v>
      </c>
      <c r="B77">
        <v>51867087</v>
      </c>
      <c r="C77">
        <v>51867074</v>
      </c>
      <c r="D77">
        <v>39062985</v>
      </c>
      <c r="E77">
        <v>1</v>
      </c>
      <c r="F77">
        <v>1</v>
      </c>
      <c r="G77">
        <v>1</v>
      </c>
      <c r="H77">
        <v>3</v>
      </c>
      <c r="I77" t="s">
        <v>1051</v>
      </c>
      <c r="J77" t="s">
        <v>1052</v>
      </c>
      <c r="K77" t="s">
        <v>1053</v>
      </c>
      <c r="L77">
        <v>1354</v>
      </c>
      <c r="N77">
        <v>1010</v>
      </c>
      <c r="O77" t="s">
        <v>527</v>
      </c>
      <c r="P77" t="s">
        <v>527</v>
      </c>
      <c r="Q77">
        <v>1</v>
      </c>
      <c r="X77">
        <v>400</v>
      </c>
      <c r="Y77">
        <v>2.23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G77">
        <v>400</v>
      </c>
      <c r="AH77">
        <v>2</v>
      </c>
      <c r="AI77">
        <v>51867080</v>
      </c>
      <c r="AJ77">
        <v>72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ROW(Source!A45)</f>
        <v>45</v>
      </c>
      <c r="B78">
        <v>51867081</v>
      </c>
      <c r="C78">
        <v>51867074</v>
      </c>
      <c r="D78">
        <v>23129805</v>
      </c>
      <c r="E78">
        <v>1</v>
      </c>
      <c r="F78">
        <v>1</v>
      </c>
      <c r="G78">
        <v>1</v>
      </c>
      <c r="H78">
        <v>1</v>
      </c>
      <c r="I78" t="s">
        <v>1054</v>
      </c>
      <c r="K78" t="s">
        <v>1055</v>
      </c>
      <c r="L78">
        <v>1369</v>
      </c>
      <c r="N78">
        <v>1013</v>
      </c>
      <c r="O78" t="s">
        <v>71</v>
      </c>
      <c r="P78" t="s">
        <v>71</v>
      </c>
      <c r="Q78">
        <v>1</v>
      </c>
      <c r="X78">
        <v>21.26</v>
      </c>
      <c r="Y78">
        <v>0</v>
      </c>
      <c r="Z78">
        <v>0</v>
      </c>
      <c r="AA78">
        <v>0</v>
      </c>
      <c r="AB78">
        <v>149.68</v>
      </c>
      <c r="AC78">
        <v>0</v>
      </c>
      <c r="AD78">
        <v>1</v>
      </c>
      <c r="AE78">
        <v>1</v>
      </c>
      <c r="AF78" t="s">
        <v>821</v>
      </c>
      <c r="AG78">
        <v>24.449000000000002</v>
      </c>
      <c r="AH78">
        <v>2</v>
      </c>
      <c r="AI78">
        <v>51867075</v>
      </c>
      <c r="AJ78">
        <v>73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ROW(Source!A45)</f>
        <v>45</v>
      </c>
      <c r="B79">
        <v>51867082</v>
      </c>
      <c r="C79">
        <v>51867074</v>
      </c>
      <c r="D79">
        <v>121548</v>
      </c>
      <c r="E79">
        <v>1</v>
      </c>
      <c r="F79">
        <v>1</v>
      </c>
      <c r="G79">
        <v>1</v>
      </c>
      <c r="H79">
        <v>1</v>
      </c>
      <c r="I79" t="s">
        <v>96</v>
      </c>
      <c r="K79" t="s">
        <v>1001</v>
      </c>
      <c r="L79">
        <v>608254</v>
      </c>
      <c r="N79">
        <v>1013</v>
      </c>
      <c r="O79" t="s">
        <v>1002</v>
      </c>
      <c r="P79" t="s">
        <v>1002</v>
      </c>
      <c r="Q79">
        <v>1</v>
      </c>
      <c r="X79">
        <v>0.05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2</v>
      </c>
      <c r="AF79" t="s">
        <v>820</v>
      </c>
      <c r="AG79">
        <v>6.25E-2</v>
      </c>
      <c r="AH79">
        <v>2</v>
      </c>
      <c r="AI79">
        <v>51867076</v>
      </c>
      <c r="AJ79">
        <v>74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ROW(Source!A45)</f>
        <v>45</v>
      </c>
      <c r="B80">
        <v>51867083</v>
      </c>
      <c r="C80">
        <v>51867074</v>
      </c>
      <c r="D80">
        <v>39127752</v>
      </c>
      <c r="E80">
        <v>1</v>
      </c>
      <c r="F80">
        <v>1</v>
      </c>
      <c r="G80">
        <v>1</v>
      </c>
      <c r="H80">
        <v>2</v>
      </c>
      <c r="I80" t="s">
        <v>1003</v>
      </c>
      <c r="J80" t="s">
        <v>1004</v>
      </c>
      <c r="K80" t="s">
        <v>1005</v>
      </c>
      <c r="L80">
        <v>1368</v>
      </c>
      <c r="N80">
        <v>1011</v>
      </c>
      <c r="O80" t="s">
        <v>1006</v>
      </c>
      <c r="P80" t="s">
        <v>1006</v>
      </c>
      <c r="Q80">
        <v>1</v>
      </c>
      <c r="X80">
        <v>0.05</v>
      </c>
      <c r="Y80">
        <v>0</v>
      </c>
      <c r="Z80">
        <v>308.94</v>
      </c>
      <c r="AA80">
        <v>239.1</v>
      </c>
      <c r="AB80">
        <v>0</v>
      </c>
      <c r="AC80">
        <v>0</v>
      </c>
      <c r="AD80">
        <v>1</v>
      </c>
      <c r="AE80">
        <v>0</v>
      </c>
      <c r="AF80" t="s">
        <v>820</v>
      </c>
      <c r="AG80">
        <v>6.25E-2</v>
      </c>
      <c r="AH80">
        <v>2</v>
      </c>
      <c r="AI80">
        <v>51867077</v>
      </c>
      <c r="AJ80">
        <v>75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ROW(Source!A45)</f>
        <v>45</v>
      </c>
      <c r="B81">
        <v>51867084</v>
      </c>
      <c r="C81">
        <v>51867074</v>
      </c>
      <c r="D81">
        <v>39129630</v>
      </c>
      <c r="E81">
        <v>1</v>
      </c>
      <c r="F81">
        <v>1</v>
      </c>
      <c r="G81">
        <v>1</v>
      </c>
      <c r="H81">
        <v>2</v>
      </c>
      <c r="I81" t="s">
        <v>1032</v>
      </c>
      <c r="J81" t="s">
        <v>1033</v>
      </c>
      <c r="K81" t="s">
        <v>1034</v>
      </c>
      <c r="L81">
        <v>1368</v>
      </c>
      <c r="N81">
        <v>1011</v>
      </c>
      <c r="O81" t="s">
        <v>1006</v>
      </c>
      <c r="P81" t="s">
        <v>1006</v>
      </c>
      <c r="Q81">
        <v>1</v>
      </c>
      <c r="X81">
        <v>0.19</v>
      </c>
      <c r="Y81">
        <v>0</v>
      </c>
      <c r="Z81">
        <v>800.28</v>
      </c>
      <c r="AA81">
        <v>204.52</v>
      </c>
      <c r="AB81">
        <v>0</v>
      </c>
      <c r="AC81">
        <v>0</v>
      </c>
      <c r="AD81">
        <v>1</v>
      </c>
      <c r="AE81">
        <v>0</v>
      </c>
      <c r="AF81" t="s">
        <v>820</v>
      </c>
      <c r="AG81">
        <v>0.23749999999999999</v>
      </c>
      <c r="AH81">
        <v>2</v>
      </c>
      <c r="AI81">
        <v>51867078</v>
      </c>
      <c r="AJ81">
        <v>76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ROW(Source!A45)</f>
        <v>45</v>
      </c>
      <c r="B82">
        <v>51867085</v>
      </c>
      <c r="C82">
        <v>51867074</v>
      </c>
      <c r="D82">
        <v>39055947</v>
      </c>
      <c r="E82">
        <v>1</v>
      </c>
      <c r="F82">
        <v>1</v>
      </c>
      <c r="G82">
        <v>1</v>
      </c>
      <c r="H82">
        <v>3</v>
      </c>
      <c r="I82" t="s">
        <v>1041</v>
      </c>
      <c r="J82" t="s">
        <v>1042</v>
      </c>
      <c r="K82" t="s">
        <v>1043</v>
      </c>
      <c r="L82">
        <v>1354</v>
      </c>
      <c r="N82">
        <v>1010</v>
      </c>
      <c r="O82" t="s">
        <v>527</v>
      </c>
      <c r="P82" t="s">
        <v>527</v>
      </c>
      <c r="Q82">
        <v>1</v>
      </c>
      <c r="X82">
        <v>45.3</v>
      </c>
      <c r="Y82">
        <v>223.92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G82">
        <v>45.3</v>
      </c>
      <c r="AH82">
        <v>2</v>
      </c>
      <c r="AI82">
        <v>51867079</v>
      </c>
      <c r="AJ82">
        <v>77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ROW(Source!A45)</f>
        <v>45</v>
      </c>
      <c r="B83">
        <v>51867086</v>
      </c>
      <c r="C83">
        <v>51867074</v>
      </c>
      <c r="D83">
        <v>39057011</v>
      </c>
      <c r="E83">
        <v>1</v>
      </c>
      <c r="F83">
        <v>1</v>
      </c>
      <c r="G83">
        <v>1</v>
      </c>
      <c r="H83">
        <v>3</v>
      </c>
      <c r="I83" t="s">
        <v>1099</v>
      </c>
      <c r="J83" t="s">
        <v>1100</v>
      </c>
      <c r="K83" t="s">
        <v>1101</v>
      </c>
      <c r="L83">
        <v>1301</v>
      </c>
      <c r="N83">
        <v>1003</v>
      </c>
      <c r="O83" t="s">
        <v>171</v>
      </c>
      <c r="P83" t="s">
        <v>171</v>
      </c>
      <c r="Q83">
        <v>1</v>
      </c>
      <c r="X83">
        <v>0</v>
      </c>
      <c r="Y83">
        <v>0</v>
      </c>
      <c r="Z83">
        <v>0</v>
      </c>
      <c r="AA83">
        <v>0</v>
      </c>
      <c r="AB83">
        <v>0</v>
      </c>
      <c r="AC83">
        <v>1</v>
      </c>
      <c r="AD83">
        <v>0</v>
      </c>
      <c r="AE83">
        <v>0</v>
      </c>
      <c r="AG83">
        <v>0</v>
      </c>
      <c r="AH83">
        <v>3</v>
      </c>
      <c r="AI83">
        <v>-1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ROW(Source!A45)</f>
        <v>45</v>
      </c>
      <c r="B84">
        <v>51867087</v>
      </c>
      <c r="C84">
        <v>51867074</v>
      </c>
      <c r="D84">
        <v>39062985</v>
      </c>
      <c r="E84">
        <v>1</v>
      </c>
      <c r="F84">
        <v>1</v>
      </c>
      <c r="G84">
        <v>1</v>
      </c>
      <c r="H84">
        <v>3</v>
      </c>
      <c r="I84" t="s">
        <v>1051</v>
      </c>
      <c r="J84" t="s">
        <v>1052</v>
      </c>
      <c r="K84" t="s">
        <v>1053</v>
      </c>
      <c r="L84">
        <v>1354</v>
      </c>
      <c r="N84">
        <v>1010</v>
      </c>
      <c r="O84" t="s">
        <v>527</v>
      </c>
      <c r="P84" t="s">
        <v>527</v>
      </c>
      <c r="Q84">
        <v>1</v>
      </c>
      <c r="X84">
        <v>400</v>
      </c>
      <c r="Y84">
        <v>2.23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G84">
        <v>400</v>
      </c>
      <c r="AH84">
        <v>2</v>
      </c>
      <c r="AI84">
        <v>51867080</v>
      </c>
      <c r="AJ84">
        <v>78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ROW(Source!A48)</f>
        <v>48</v>
      </c>
      <c r="B85">
        <v>51867098</v>
      </c>
      <c r="C85">
        <v>51867089</v>
      </c>
      <c r="D85">
        <v>23136905</v>
      </c>
      <c r="E85">
        <v>1</v>
      </c>
      <c r="F85">
        <v>1</v>
      </c>
      <c r="G85">
        <v>1</v>
      </c>
      <c r="H85">
        <v>1</v>
      </c>
      <c r="I85" t="s">
        <v>1056</v>
      </c>
      <c r="K85" t="s">
        <v>1057</v>
      </c>
      <c r="L85">
        <v>1369</v>
      </c>
      <c r="N85">
        <v>1013</v>
      </c>
      <c r="O85" t="s">
        <v>71</v>
      </c>
      <c r="P85" t="s">
        <v>71</v>
      </c>
      <c r="Q85">
        <v>1</v>
      </c>
      <c r="X85">
        <v>166.47</v>
      </c>
      <c r="Y85">
        <v>0</v>
      </c>
      <c r="Z85">
        <v>0</v>
      </c>
      <c r="AA85">
        <v>0</v>
      </c>
      <c r="AB85">
        <v>161.13</v>
      </c>
      <c r="AC85">
        <v>0</v>
      </c>
      <c r="AD85">
        <v>1</v>
      </c>
      <c r="AE85">
        <v>1</v>
      </c>
      <c r="AF85" t="s">
        <v>821</v>
      </c>
      <c r="AG85">
        <v>191.44049999999999</v>
      </c>
      <c r="AH85">
        <v>2</v>
      </c>
      <c r="AI85">
        <v>51867090</v>
      </c>
      <c r="AJ85">
        <v>79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ROW(Source!A48)</f>
        <v>48</v>
      </c>
      <c r="B86">
        <v>51867099</v>
      </c>
      <c r="C86">
        <v>51867089</v>
      </c>
      <c r="D86">
        <v>121548</v>
      </c>
      <c r="E86">
        <v>1</v>
      </c>
      <c r="F86">
        <v>1</v>
      </c>
      <c r="G86">
        <v>1</v>
      </c>
      <c r="H86">
        <v>1</v>
      </c>
      <c r="I86" t="s">
        <v>96</v>
      </c>
      <c r="K86" t="s">
        <v>1001</v>
      </c>
      <c r="L86">
        <v>608254</v>
      </c>
      <c r="N86">
        <v>1013</v>
      </c>
      <c r="O86" t="s">
        <v>1002</v>
      </c>
      <c r="P86" t="s">
        <v>1002</v>
      </c>
      <c r="Q86">
        <v>1</v>
      </c>
      <c r="X86">
        <v>0.08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2</v>
      </c>
      <c r="AF86" t="s">
        <v>820</v>
      </c>
      <c r="AG86">
        <v>0.1</v>
      </c>
      <c r="AH86">
        <v>2</v>
      </c>
      <c r="AI86">
        <v>51867091</v>
      </c>
      <c r="AJ86">
        <v>80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ROW(Source!A48)</f>
        <v>48</v>
      </c>
      <c r="B87">
        <v>51867100</v>
      </c>
      <c r="C87">
        <v>51867089</v>
      </c>
      <c r="D87">
        <v>39127752</v>
      </c>
      <c r="E87">
        <v>1</v>
      </c>
      <c r="F87">
        <v>1</v>
      </c>
      <c r="G87">
        <v>1</v>
      </c>
      <c r="H87">
        <v>2</v>
      </c>
      <c r="I87" t="s">
        <v>1003</v>
      </c>
      <c r="J87" t="s">
        <v>1004</v>
      </c>
      <c r="K87" t="s">
        <v>1005</v>
      </c>
      <c r="L87">
        <v>1368</v>
      </c>
      <c r="N87">
        <v>1011</v>
      </c>
      <c r="O87" t="s">
        <v>1006</v>
      </c>
      <c r="P87" t="s">
        <v>1006</v>
      </c>
      <c r="Q87">
        <v>1</v>
      </c>
      <c r="X87">
        <v>0.08</v>
      </c>
      <c r="Y87">
        <v>0</v>
      </c>
      <c r="Z87">
        <v>299.41000000000003</v>
      </c>
      <c r="AA87">
        <v>229.54</v>
      </c>
      <c r="AB87">
        <v>0</v>
      </c>
      <c r="AC87">
        <v>0</v>
      </c>
      <c r="AD87">
        <v>1</v>
      </c>
      <c r="AE87">
        <v>0</v>
      </c>
      <c r="AF87" t="s">
        <v>820</v>
      </c>
      <c r="AG87">
        <v>0.1</v>
      </c>
      <c r="AH87">
        <v>2</v>
      </c>
      <c r="AI87">
        <v>51867092</v>
      </c>
      <c r="AJ87">
        <v>81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ROW(Source!A48)</f>
        <v>48</v>
      </c>
      <c r="B88">
        <v>51867101</v>
      </c>
      <c r="C88">
        <v>51867089</v>
      </c>
      <c r="D88">
        <v>39129319</v>
      </c>
      <c r="E88">
        <v>1</v>
      </c>
      <c r="F88">
        <v>1</v>
      </c>
      <c r="G88">
        <v>1</v>
      </c>
      <c r="H88">
        <v>2</v>
      </c>
      <c r="I88" t="s">
        <v>1058</v>
      </c>
      <c r="J88" t="s">
        <v>1059</v>
      </c>
      <c r="K88" t="s">
        <v>1060</v>
      </c>
      <c r="L88">
        <v>1368</v>
      </c>
      <c r="N88">
        <v>1011</v>
      </c>
      <c r="O88" t="s">
        <v>1006</v>
      </c>
      <c r="P88" t="s">
        <v>1006</v>
      </c>
      <c r="Q88">
        <v>1</v>
      </c>
      <c r="X88">
        <v>0.26</v>
      </c>
      <c r="Y88">
        <v>0</v>
      </c>
      <c r="Z88">
        <v>4.67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820</v>
      </c>
      <c r="AG88">
        <v>0.32500000000000001</v>
      </c>
      <c r="AH88">
        <v>2</v>
      </c>
      <c r="AI88">
        <v>51867093</v>
      </c>
      <c r="AJ88">
        <v>82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ROW(Source!A48)</f>
        <v>48</v>
      </c>
      <c r="B89">
        <v>51867102</v>
      </c>
      <c r="C89">
        <v>51867089</v>
      </c>
      <c r="D89">
        <v>39129630</v>
      </c>
      <c r="E89">
        <v>1</v>
      </c>
      <c r="F89">
        <v>1</v>
      </c>
      <c r="G89">
        <v>1</v>
      </c>
      <c r="H89">
        <v>2</v>
      </c>
      <c r="I89" t="s">
        <v>1032</v>
      </c>
      <c r="J89" t="s">
        <v>1033</v>
      </c>
      <c r="K89" t="s">
        <v>1034</v>
      </c>
      <c r="L89">
        <v>1368</v>
      </c>
      <c r="N89">
        <v>1011</v>
      </c>
      <c r="O89" t="s">
        <v>1006</v>
      </c>
      <c r="P89" t="s">
        <v>1006</v>
      </c>
      <c r="Q89">
        <v>1</v>
      </c>
      <c r="X89">
        <v>0.5</v>
      </c>
      <c r="Y89">
        <v>0</v>
      </c>
      <c r="Z89">
        <v>772.82</v>
      </c>
      <c r="AA89">
        <v>196.34</v>
      </c>
      <c r="AB89">
        <v>0</v>
      </c>
      <c r="AC89">
        <v>0</v>
      </c>
      <c r="AD89">
        <v>1</v>
      </c>
      <c r="AE89">
        <v>0</v>
      </c>
      <c r="AF89" t="s">
        <v>820</v>
      </c>
      <c r="AG89">
        <v>0.625</v>
      </c>
      <c r="AH89">
        <v>2</v>
      </c>
      <c r="AI89">
        <v>51867094</v>
      </c>
      <c r="AJ89">
        <v>83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ROW(Source!A48)</f>
        <v>48</v>
      </c>
      <c r="B90">
        <v>51867103</v>
      </c>
      <c r="C90">
        <v>51867089</v>
      </c>
      <c r="D90">
        <v>39055169</v>
      </c>
      <c r="E90">
        <v>1</v>
      </c>
      <c r="F90">
        <v>1</v>
      </c>
      <c r="G90">
        <v>1</v>
      </c>
      <c r="H90">
        <v>3</v>
      </c>
      <c r="I90" t="s">
        <v>1061</v>
      </c>
      <c r="J90" t="s">
        <v>1062</v>
      </c>
      <c r="K90" t="s">
        <v>1063</v>
      </c>
      <c r="L90">
        <v>1346</v>
      </c>
      <c r="N90">
        <v>1009</v>
      </c>
      <c r="O90" t="s">
        <v>175</v>
      </c>
      <c r="P90" t="s">
        <v>175</v>
      </c>
      <c r="Q90">
        <v>1</v>
      </c>
      <c r="X90">
        <v>0.2</v>
      </c>
      <c r="Y90">
        <v>25.18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G90">
        <v>0.2</v>
      </c>
      <c r="AH90">
        <v>2</v>
      </c>
      <c r="AI90">
        <v>51867095</v>
      </c>
      <c r="AJ90">
        <v>84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ROW(Source!A48)</f>
        <v>48</v>
      </c>
      <c r="B91">
        <v>51867104</v>
      </c>
      <c r="C91">
        <v>51867089</v>
      </c>
      <c r="D91">
        <v>39057010</v>
      </c>
      <c r="E91">
        <v>1</v>
      </c>
      <c r="F91">
        <v>1</v>
      </c>
      <c r="G91">
        <v>1</v>
      </c>
      <c r="H91">
        <v>3</v>
      </c>
      <c r="I91" t="s">
        <v>1102</v>
      </c>
      <c r="J91" t="s">
        <v>1103</v>
      </c>
      <c r="K91" t="s">
        <v>1104</v>
      </c>
      <c r="L91">
        <v>1329</v>
      </c>
      <c r="N91">
        <v>1005</v>
      </c>
      <c r="O91" t="s">
        <v>251</v>
      </c>
      <c r="P91" t="s">
        <v>251</v>
      </c>
      <c r="Q91">
        <v>1000</v>
      </c>
      <c r="X91">
        <v>0.105</v>
      </c>
      <c r="Y91">
        <v>175022.11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G91">
        <v>0.105</v>
      </c>
      <c r="AH91">
        <v>3</v>
      </c>
      <c r="AI91">
        <v>-1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ROW(Source!A48)</f>
        <v>48</v>
      </c>
      <c r="B92">
        <v>51867105</v>
      </c>
      <c r="C92">
        <v>51867089</v>
      </c>
      <c r="D92">
        <v>39056763</v>
      </c>
      <c r="E92">
        <v>1</v>
      </c>
      <c r="F92">
        <v>1</v>
      </c>
      <c r="G92">
        <v>1</v>
      </c>
      <c r="H92">
        <v>3</v>
      </c>
      <c r="I92" t="s">
        <v>1064</v>
      </c>
      <c r="J92" t="s">
        <v>1065</v>
      </c>
      <c r="K92" t="s">
        <v>1066</v>
      </c>
      <c r="L92">
        <v>1346</v>
      </c>
      <c r="N92">
        <v>1009</v>
      </c>
      <c r="O92" t="s">
        <v>175</v>
      </c>
      <c r="P92" t="s">
        <v>175</v>
      </c>
      <c r="Q92">
        <v>1</v>
      </c>
      <c r="X92">
        <v>30</v>
      </c>
      <c r="Y92">
        <v>46.71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G92">
        <v>30</v>
      </c>
      <c r="AH92">
        <v>2</v>
      </c>
      <c r="AI92">
        <v>51867096</v>
      </c>
      <c r="AJ92">
        <v>85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ROW(Source!A48)</f>
        <v>48</v>
      </c>
      <c r="B93">
        <v>51867106</v>
      </c>
      <c r="C93">
        <v>51867089</v>
      </c>
      <c r="D93">
        <v>39056703</v>
      </c>
      <c r="E93">
        <v>1</v>
      </c>
      <c r="F93">
        <v>1</v>
      </c>
      <c r="G93">
        <v>1</v>
      </c>
      <c r="H93">
        <v>3</v>
      </c>
      <c r="I93" t="s">
        <v>1067</v>
      </c>
      <c r="J93" t="s">
        <v>1068</v>
      </c>
      <c r="K93" t="s">
        <v>1069</v>
      </c>
      <c r="L93">
        <v>1348</v>
      </c>
      <c r="N93">
        <v>1009</v>
      </c>
      <c r="O93" t="s">
        <v>99</v>
      </c>
      <c r="P93" t="s">
        <v>99</v>
      </c>
      <c r="Q93">
        <v>1000</v>
      </c>
      <c r="X93">
        <v>8.8999999999999999E-3</v>
      </c>
      <c r="Y93">
        <v>25913.49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G93">
        <v>8.8999999999999999E-3</v>
      </c>
      <c r="AH93">
        <v>2</v>
      </c>
      <c r="AI93">
        <v>51867097</v>
      </c>
      <c r="AJ93">
        <v>86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ROW(Source!A49)</f>
        <v>49</v>
      </c>
      <c r="B94">
        <v>51867098</v>
      </c>
      <c r="C94">
        <v>51867089</v>
      </c>
      <c r="D94">
        <v>23136905</v>
      </c>
      <c r="E94">
        <v>1</v>
      </c>
      <c r="F94">
        <v>1</v>
      </c>
      <c r="G94">
        <v>1</v>
      </c>
      <c r="H94">
        <v>1</v>
      </c>
      <c r="I94" t="s">
        <v>1056</v>
      </c>
      <c r="K94" t="s">
        <v>1057</v>
      </c>
      <c r="L94">
        <v>1369</v>
      </c>
      <c r="N94">
        <v>1013</v>
      </c>
      <c r="O94" t="s">
        <v>71</v>
      </c>
      <c r="P94" t="s">
        <v>71</v>
      </c>
      <c r="Q94">
        <v>1</v>
      </c>
      <c r="X94">
        <v>166.47</v>
      </c>
      <c r="Y94">
        <v>0</v>
      </c>
      <c r="Z94">
        <v>0</v>
      </c>
      <c r="AA94">
        <v>0</v>
      </c>
      <c r="AB94">
        <v>161.13</v>
      </c>
      <c r="AC94">
        <v>0</v>
      </c>
      <c r="AD94">
        <v>1</v>
      </c>
      <c r="AE94">
        <v>1</v>
      </c>
      <c r="AF94" t="s">
        <v>821</v>
      </c>
      <c r="AG94">
        <v>191.44049999999999</v>
      </c>
      <c r="AH94">
        <v>2</v>
      </c>
      <c r="AI94">
        <v>51867090</v>
      </c>
      <c r="AJ94">
        <v>87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ROW(Source!A49)</f>
        <v>49</v>
      </c>
      <c r="B95">
        <v>51867099</v>
      </c>
      <c r="C95">
        <v>51867089</v>
      </c>
      <c r="D95">
        <v>121548</v>
      </c>
      <c r="E95">
        <v>1</v>
      </c>
      <c r="F95">
        <v>1</v>
      </c>
      <c r="G95">
        <v>1</v>
      </c>
      <c r="H95">
        <v>1</v>
      </c>
      <c r="I95" t="s">
        <v>96</v>
      </c>
      <c r="K95" t="s">
        <v>1001</v>
      </c>
      <c r="L95">
        <v>608254</v>
      </c>
      <c r="N95">
        <v>1013</v>
      </c>
      <c r="O95" t="s">
        <v>1002</v>
      </c>
      <c r="P95" t="s">
        <v>1002</v>
      </c>
      <c r="Q95">
        <v>1</v>
      </c>
      <c r="X95">
        <v>0.08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2</v>
      </c>
      <c r="AF95" t="s">
        <v>820</v>
      </c>
      <c r="AG95">
        <v>0.1</v>
      </c>
      <c r="AH95">
        <v>2</v>
      </c>
      <c r="AI95">
        <v>51867091</v>
      </c>
      <c r="AJ95">
        <v>88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ROW(Source!A49)</f>
        <v>49</v>
      </c>
      <c r="B96">
        <v>51867100</v>
      </c>
      <c r="C96">
        <v>51867089</v>
      </c>
      <c r="D96">
        <v>39127752</v>
      </c>
      <c r="E96">
        <v>1</v>
      </c>
      <c r="F96">
        <v>1</v>
      </c>
      <c r="G96">
        <v>1</v>
      </c>
      <c r="H96">
        <v>2</v>
      </c>
      <c r="I96" t="s">
        <v>1003</v>
      </c>
      <c r="J96" t="s">
        <v>1004</v>
      </c>
      <c r="K96" t="s">
        <v>1005</v>
      </c>
      <c r="L96">
        <v>1368</v>
      </c>
      <c r="N96">
        <v>1011</v>
      </c>
      <c r="O96" t="s">
        <v>1006</v>
      </c>
      <c r="P96" t="s">
        <v>1006</v>
      </c>
      <c r="Q96">
        <v>1</v>
      </c>
      <c r="X96">
        <v>0.08</v>
      </c>
      <c r="Y96">
        <v>0</v>
      </c>
      <c r="Z96">
        <v>308.94</v>
      </c>
      <c r="AA96">
        <v>239.1</v>
      </c>
      <c r="AB96">
        <v>0</v>
      </c>
      <c r="AC96">
        <v>0</v>
      </c>
      <c r="AD96">
        <v>1</v>
      </c>
      <c r="AE96">
        <v>0</v>
      </c>
      <c r="AF96" t="s">
        <v>820</v>
      </c>
      <c r="AG96">
        <v>0.1</v>
      </c>
      <c r="AH96">
        <v>2</v>
      </c>
      <c r="AI96">
        <v>51867092</v>
      </c>
      <c r="AJ96">
        <v>89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ROW(Source!A49)</f>
        <v>49</v>
      </c>
      <c r="B97">
        <v>51867101</v>
      </c>
      <c r="C97">
        <v>51867089</v>
      </c>
      <c r="D97">
        <v>39129319</v>
      </c>
      <c r="E97">
        <v>1</v>
      </c>
      <c r="F97">
        <v>1</v>
      </c>
      <c r="G97">
        <v>1</v>
      </c>
      <c r="H97">
        <v>2</v>
      </c>
      <c r="I97" t="s">
        <v>1058</v>
      </c>
      <c r="J97" t="s">
        <v>1059</v>
      </c>
      <c r="K97" t="s">
        <v>1060</v>
      </c>
      <c r="L97">
        <v>1368</v>
      </c>
      <c r="N97">
        <v>1011</v>
      </c>
      <c r="O97" t="s">
        <v>1006</v>
      </c>
      <c r="P97" t="s">
        <v>1006</v>
      </c>
      <c r="Q97">
        <v>1</v>
      </c>
      <c r="X97">
        <v>0.26</v>
      </c>
      <c r="Y97">
        <v>0</v>
      </c>
      <c r="Z97">
        <v>4.76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820</v>
      </c>
      <c r="AG97">
        <v>0.32500000000000001</v>
      </c>
      <c r="AH97">
        <v>2</v>
      </c>
      <c r="AI97">
        <v>51867093</v>
      </c>
      <c r="AJ97">
        <v>90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ROW(Source!A49)</f>
        <v>49</v>
      </c>
      <c r="B98">
        <v>51867102</v>
      </c>
      <c r="C98">
        <v>51867089</v>
      </c>
      <c r="D98">
        <v>39129630</v>
      </c>
      <c r="E98">
        <v>1</v>
      </c>
      <c r="F98">
        <v>1</v>
      </c>
      <c r="G98">
        <v>1</v>
      </c>
      <c r="H98">
        <v>2</v>
      </c>
      <c r="I98" t="s">
        <v>1032</v>
      </c>
      <c r="J98" t="s">
        <v>1033</v>
      </c>
      <c r="K98" t="s">
        <v>1034</v>
      </c>
      <c r="L98">
        <v>1368</v>
      </c>
      <c r="N98">
        <v>1011</v>
      </c>
      <c r="O98" t="s">
        <v>1006</v>
      </c>
      <c r="P98" t="s">
        <v>1006</v>
      </c>
      <c r="Q98">
        <v>1</v>
      </c>
      <c r="X98">
        <v>0.5</v>
      </c>
      <c r="Y98">
        <v>0</v>
      </c>
      <c r="Z98">
        <v>800.28</v>
      </c>
      <c r="AA98">
        <v>204.52</v>
      </c>
      <c r="AB98">
        <v>0</v>
      </c>
      <c r="AC98">
        <v>0</v>
      </c>
      <c r="AD98">
        <v>1</v>
      </c>
      <c r="AE98">
        <v>0</v>
      </c>
      <c r="AF98" t="s">
        <v>820</v>
      </c>
      <c r="AG98">
        <v>0.625</v>
      </c>
      <c r="AH98">
        <v>2</v>
      </c>
      <c r="AI98">
        <v>51867094</v>
      </c>
      <c r="AJ98">
        <v>91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ROW(Source!A49)</f>
        <v>49</v>
      </c>
      <c r="B99">
        <v>51867103</v>
      </c>
      <c r="C99">
        <v>51867089</v>
      </c>
      <c r="D99">
        <v>39055169</v>
      </c>
      <c r="E99">
        <v>1</v>
      </c>
      <c r="F99">
        <v>1</v>
      </c>
      <c r="G99">
        <v>1</v>
      </c>
      <c r="H99">
        <v>3</v>
      </c>
      <c r="I99" t="s">
        <v>1061</v>
      </c>
      <c r="J99" t="s">
        <v>1062</v>
      </c>
      <c r="K99" t="s">
        <v>1063</v>
      </c>
      <c r="L99">
        <v>1346</v>
      </c>
      <c r="N99">
        <v>1009</v>
      </c>
      <c r="O99" t="s">
        <v>175</v>
      </c>
      <c r="P99" t="s">
        <v>175</v>
      </c>
      <c r="Q99">
        <v>1</v>
      </c>
      <c r="X99">
        <v>0.2</v>
      </c>
      <c r="Y99">
        <v>25.19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G99">
        <v>0.2</v>
      </c>
      <c r="AH99">
        <v>2</v>
      </c>
      <c r="AI99">
        <v>51867095</v>
      </c>
      <c r="AJ99">
        <v>92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ROW(Source!A49)</f>
        <v>49</v>
      </c>
      <c r="B100">
        <v>51867104</v>
      </c>
      <c r="C100">
        <v>51867089</v>
      </c>
      <c r="D100">
        <v>39057010</v>
      </c>
      <c r="E100">
        <v>1</v>
      </c>
      <c r="F100">
        <v>1</v>
      </c>
      <c r="G100">
        <v>1</v>
      </c>
      <c r="H100">
        <v>3</v>
      </c>
      <c r="I100" t="s">
        <v>1102</v>
      </c>
      <c r="J100" t="s">
        <v>1103</v>
      </c>
      <c r="K100" t="s">
        <v>1104</v>
      </c>
      <c r="L100">
        <v>1329</v>
      </c>
      <c r="N100">
        <v>1005</v>
      </c>
      <c r="O100" t="s">
        <v>251</v>
      </c>
      <c r="P100" t="s">
        <v>251</v>
      </c>
      <c r="Q100">
        <v>1000</v>
      </c>
      <c r="X100">
        <v>0.105</v>
      </c>
      <c r="Y100">
        <v>175079.54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G100">
        <v>0.105</v>
      </c>
      <c r="AH100">
        <v>3</v>
      </c>
      <c r="AI100">
        <v>-1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ROW(Source!A49)</f>
        <v>49</v>
      </c>
      <c r="B101">
        <v>51867105</v>
      </c>
      <c r="C101">
        <v>51867089</v>
      </c>
      <c r="D101">
        <v>39056763</v>
      </c>
      <c r="E101">
        <v>1</v>
      </c>
      <c r="F101">
        <v>1</v>
      </c>
      <c r="G101">
        <v>1</v>
      </c>
      <c r="H101">
        <v>3</v>
      </c>
      <c r="I101" t="s">
        <v>1064</v>
      </c>
      <c r="J101" t="s">
        <v>1065</v>
      </c>
      <c r="K101" t="s">
        <v>1066</v>
      </c>
      <c r="L101">
        <v>1346</v>
      </c>
      <c r="N101">
        <v>1009</v>
      </c>
      <c r="O101" t="s">
        <v>175</v>
      </c>
      <c r="P101" t="s">
        <v>175</v>
      </c>
      <c r="Q101">
        <v>1</v>
      </c>
      <c r="X101">
        <v>30</v>
      </c>
      <c r="Y101">
        <v>48.67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G101">
        <v>30</v>
      </c>
      <c r="AH101">
        <v>2</v>
      </c>
      <c r="AI101">
        <v>51867096</v>
      </c>
      <c r="AJ101">
        <v>93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ROW(Source!A49)</f>
        <v>49</v>
      </c>
      <c r="B102">
        <v>51867106</v>
      </c>
      <c r="C102">
        <v>51867089</v>
      </c>
      <c r="D102">
        <v>39056703</v>
      </c>
      <c r="E102">
        <v>1</v>
      </c>
      <c r="F102">
        <v>1</v>
      </c>
      <c r="G102">
        <v>1</v>
      </c>
      <c r="H102">
        <v>3</v>
      </c>
      <c r="I102" t="s">
        <v>1067</v>
      </c>
      <c r="J102" t="s">
        <v>1068</v>
      </c>
      <c r="K102" t="s">
        <v>1069</v>
      </c>
      <c r="L102">
        <v>1348</v>
      </c>
      <c r="N102">
        <v>1009</v>
      </c>
      <c r="O102" t="s">
        <v>99</v>
      </c>
      <c r="P102" t="s">
        <v>99</v>
      </c>
      <c r="Q102">
        <v>1000</v>
      </c>
      <c r="X102">
        <v>8.8999999999999999E-3</v>
      </c>
      <c r="Y102">
        <v>25933.63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G102">
        <v>8.8999999999999999E-3</v>
      </c>
      <c r="AH102">
        <v>2</v>
      </c>
      <c r="AI102">
        <v>51867097</v>
      </c>
      <c r="AJ102">
        <v>94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ROW(Source!A54)</f>
        <v>54</v>
      </c>
      <c r="B103">
        <v>51867113</v>
      </c>
      <c r="C103">
        <v>51867109</v>
      </c>
      <c r="D103">
        <v>23129805</v>
      </c>
      <c r="E103">
        <v>1</v>
      </c>
      <c r="F103">
        <v>1</v>
      </c>
      <c r="G103">
        <v>1</v>
      </c>
      <c r="H103">
        <v>1</v>
      </c>
      <c r="I103" t="s">
        <v>1054</v>
      </c>
      <c r="K103" t="s">
        <v>1055</v>
      </c>
      <c r="L103">
        <v>1369</v>
      </c>
      <c r="N103">
        <v>1013</v>
      </c>
      <c r="O103" t="s">
        <v>71</v>
      </c>
      <c r="P103" t="s">
        <v>71</v>
      </c>
      <c r="Q103">
        <v>1</v>
      </c>
      <c r="X103">
        <v>6.7</v>
      </c>
      <c r="Y103">
        <v>0</v>
      </c>
      <c r="Z103">
        <v>0</v>
      </c>
      <c r="AA103">
        <v>0</v>
      </c>
      <c r="AB103">
        <v>7.97</v>
      </c>
      <c r="AC103">
        <v>0</v>
      </c>
      <c r="AD103">
        <v>1</v>
      </c>
      <c r="AE103">
        <v>1</v>
      </c>
      <c r="AF103" t="s">
        <v>821</v>
      </c>
      <c r="AG103">
        <v>7.7050000000000001</v>
      </c>
      <c r="AH103">
        <v>2</v>
      </c>
      <c r="AI103">
        <v>51867110</v>
      </c>
      <c r="AJ103">
        <v>95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ROW(Source!A54)</f>
        <v>54</v>
      </c>
      <c r="B104">
        <v>51867114</v>
      </c>
      <c r="C104">
        <v>51867109</v>
      </c>
      <c r="D104">
        <v>39057039</v>
      </c>
      <c r="E104">
        <v>1</v>
      </c>
      <c r="F104">
        <v>1</v>
      </c>
      <c r="G104">
        <v>1</v>
      </c>
      <c r="H104">
        <v>3</v>
      </c>
      <c r="I104" t="s">
        <v>1070</v>
      </c>
      <c r="J104" t="s">
        <v>1071</v>
      </c>
      <c r="K104" t="s">
        <v>1072</v>
      </c>
      <c r="L104">
        <v>2233</v>
      </c>
      <c r="N104">
        <v>1013</v>
      </c>
      <c r="O104" t="s">
        <v>180</v>
      </c>
      <c r="P104" t="s">
        <v>180</v>
      </c>
      <c r="Q104">
        <v>1</v>
      </c>
      <c r="X104">
        <v>100</v>
      </c>
      <c r="Y104">
        <v>3.03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G104">
        <v>100</v>
      </c>
      <c r="AH104">
        <v>2</v>
      </c>
      <c r="AI104">
        <v>51867111</v>
      </c>
      <c r="AJ104">
        <v>96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ROW(Source!A54)</f>
        <v>54</v>
      </c>
      <c r="B105">
        <v>51867115</v>
      </c>
      <c r="C105">
        <v>51867109</v>
      </c>
      <c r="D105">
        <v>39070082</v>
      </c>
      <c r="E105">
        <v>1</v>
      </c>
      <c r="F105">
        <v>1</v>
      </c>
      <c r="G105">
        <v>1</v>
      </c>
      <c r="H105">
        <v>3</v>
      </c>
      <c r="I105" t="s">
        <v>1073</v>
      </c>
      <c r="J105" t="s">
        <v>1074</v>
      </c>
      <c r="K105" t="s">
        <v>1075</v>
      </c>
      <c r="L105">
        <v>1346</v>
      </c>
      <c r="N105">
        <v>1009</v>
      </c>
      <c r="O105" t="s">
        <v>175</v>
      </c>
      <c r="P105" t="s">
        <v>175</v>
      </c>
      <c r="Q105">
        <v>1</v>
      </c>
      <c r="X105">
        <v>0.8</v>
      </c>
      <c r="Y105">
        <v>45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G105">
        <v>0.8</v>
      </c>
      <c r="AH105">
        <v>2</v>
      </c>
      <c r="AI105">
        <v>51867112</v>
      </c>
      <c r="AJ105">
        <v>97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ROW(Source!A55)</f>
        <v>55</v>
      </c>
      <c r="B106">
        <v>51867113</v>
      </c>
      <c r="C106">
        <v>51867109</v>
      </c>
      <c r="D106">
        <v>23129805</v>
      </c>
      <c r="E106">
        <v>1</v>
      </c>
      <c r="F106">
        <v>1</v>
      </c>
      <c r="G106">
        <v>1</v>
      </c>
      <c r="H106">
        <v>1</v>
      </c>
      <c r="I106" t="s">
        <v>1054</v>
      </c>
      <c r="K106" t="s">
        <v>1055</v>
      </c>
      <c r="L106">
        <v>1369</v>
      </c>
      <c r="N106">
        <v>1013</v>
      </c>
      <c r="O106" t="s">
        <v>71</v>
      </c>
      <c r="P106" t="s">
        <v>71</v>
      </c>
      <c r="Q106">
        <v>1</v>
      </c>
      <c r="X106">
        <v>6.7</v>
      </c>
      <c r="Y106">
        <v>0</v>
      </c>
      <c r="Z106">
        <v>0</v>
      </c>
      <c r="AA106">
        <v>0</v>
      </c>
      <c r="AB106">
        <v>149.68</v>
      </c>
      <c r="AC106">
        <v>0</v>
      </c>
      <c r="AD106">
        <v>1</v>
      </c>
      <c r="AE106">
        <v>1</v>
      </c>
      <c r="AF106" t="s">
        <v>821</v>
      </c>
      <c r="AG106">
        <v>7.7050000000000001</v>
      </c>
      <c r="AH106">
        <v>2</v>
      </c>
      <c r="AI106">
        <v>51867110</v>
      </c>
      <c r="AJ106">
        <v>98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ROW(Source!A55)</f>
        <v>55</v>
      </c>
      <c r="B107">
        <v>51867114</v>
      </c>
      <c r="C107">
        <v>51867109</v>
      </c>
      <c r="D107">
        <v>39057039</v>
      </c>
      <c r="E107">
        <v>1</v>
      </c>
      <c r="F107">
        <v>1</v>
      </c>
      <c r="G107">
        <v>1</v>
      </c>
      <c r="H107">
        <v>3</v>
      </c>
      <c r="I107" t="s">
        <v>1070</v>
      </c>
      <c r="J107" t="s">
        <v>1071</v>
      </c>
      <c r="K107" t="s">
        <v>1072</v>
      </c>
      <c r="L107">
        <v>2233</v>
      </c>
      <c r="N107">
        <v>1013</v>
      </c>
      <c r="O107" t="s">
        <v>180</v>
      </c>
      <c r="P107" t="s">
        <v>180</v>
      </c>
      <c r="Q107">
        <v>1</v>
      </c>
      <c r="X107">
        <v>100</v>
      </c>
      <c r="Y107">
        <v>7.64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G107">
        <v>100</v>
      </c>
      <c r="AH107">
        <v>2</v>
      </c>
      <c r="AI107">
        <v>51867111</v>
      </c>
      <c r="AJ107">
        <v>99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ROW(Source!A55)</f>
        <v>55</v>
      </c>
      <c r="B108">
        <v>51867115</v>
      </c>
      <c r="C108">
        <v>51867109</v>
      </c>
      <c r="D108">
        <v>39070082</v>
      </c>
      <c r="E108">
        <v>1</v>
      </c>
      <c r="F108">
        <v>1</v>
      </c>
      <c r="G108">
        <v>1</v>
      </c>
      <c r="H108">
        <v>3</v>
      </c>
      <c r="I108" t="s">
        <v>1073</v>
      </c>
      <c r="J108" t="s">
        <v>1074</v>
      </c>
      <c r="K108" t="s">
        <v>1075</v>
      </c>
      <c r="L108">
        <v>1346</v>
      </c>
      <c r="N108">
        <v>1009</v>
      </c>
      <c r="O108" t="s">
        <v>175</v>
      </c>
      <c r="P108" t="s">
        <v>175</v>
      </c>
      <c r="Q108">
        <v>1</v>
      </c>
      <c r="X108">
        <v>0.8</v>
      </c>
      <c r="Y108">
        <v>201.45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G108">
        <v>0.8</v>
      </c>
      <c r="AH108">
        <v>2</v>
      </c>
      <c r="AI108">
        <v>51867112</v>
      </c>
      <c r="AJ108">
        <v>100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ROW(Source!A56)</f>
        <v>56</v>
      </c>
      <c r="B109">
        <v>51867123</v>
      </c>
      <c r="C109">
        <v>51867116</v>
      </c>
      <c r="D109">
        <v>23129805</v>
      </c>
      <c r="E109">
        <v>1</v>
      </c>
      <c r="F109">
        <v>1</v>
      </c>
      <c r="G109">
        <v>1</v>
      </c>
      <c r="H109">
        <v>1</v>
      </c>
      <c r="I109" t="s">
        <v>1054</v>
      </c>
      <c r="K109" t="s">
        <v>1055</v>
      </c>
      <c r="L109">
        <v>1369</v>
      </c>
      <c r="N109">
        <v>1013</v>
      </c>
      <c r="O109" t="s">
        <v>71</v>
      </c>
      <c r="P109" t="s">
        <v>71</v>
      </c>
      <c r="Q109">
        <v>1</v>
      </c>
      <c r="X109">
        <v>112.75</v>
      </c>
      <c r="Y109">
        <v>0</v>
      </c>
      <c r="Z109">
        <v>0</v>
      </c>
      <c r="AA109">
        <v>0</v>
      </c>
      <c r="AB109">
        <v>149.68</v>
      </c>
      <c r="AC109">
        <v>0</v>
      </c>
      <c r="AD109">
        <v>1</v>
      </c>
      <c r="AE109">
        <v>1</v>
      </c>
      <c r="AF109" t="s">
        <v>821</v>
      </c>
      <c r="AG109">
        <v>129.66249999999999</v>
      </c>
      <c r="AH109">
        <v>2</v>
      </c>
      <c r="AI109">
        <v>51867117</v>
      </c>
      <c r="AJ109">
        <v>101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ROW(Source!A56)</f>
        <v>56</v>
      </c>
      <c r="B110">
        <v>51867124</v>
      </c>
      <c r="C110">
        <v>51867116</v>
      </c>
      <c r="D110">
        <v>121548</v>
      </c>
      <c r="E110">
        <v>1</v>
      </c>
      <c r="F110">
        <v>1</v>
      </c>
      <c r="G110">
        <v>1</v>
      </c>
      <c r="H110">
        <v>1</v>
      </c>
      <c r="I110" t="s">
        <v>96</v>
      </c>
      <c r="K110" t="s">
        <v>1001</v>
      </c>
      <c r="L110">
        <v>608254</v>
      </c>
      <c r="N110">
        <v>1013</v>
      </c>
      <c r="O110" t="s">
        <v>1002</v>
      </c>
      <c r="P110" t="s">
        <v>1002</v>
      </c>
      <c r="Q110">
        <v>1</v>
      </c>
      <c r="X110">
        <v>0.2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2</v>
      </c>
      <c r="AF110" t="s">
        <v>820</v>
      </c>
      <c r="AG110">
        <v>0.25</v>
      </c>
      <c r="AH110">
        <v>2</v>
      </c>
      <c r="AI110">
        <v>51867118</v>
      </c>
      <c r="AJ110">
        <v>102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ROW(Source!A56)</f>
        <v>56</v>
      </c>
      <c r="B111">
        <v>51867125</v>
      </c>
      <c r="C111">
        <v>51867116</v>
      </c>
      <c r="D111">
        <v>39127533</v>
      </c>
      <c r="E111">
        <v>1</v>
      </c>
      <c r="F111">
        <v>1</v>
      </c>
      <c r="G111">
        <v>1</v>
      </c>
      <c r="H111">
        <v>2</v>
      </c>
      <c r="I111" t="s">
        <v>1076</v>
      </c>
      <c r="J111" t="s">
        <v>1077</v>
      </c>
      <c r="K111" t="s">
        <v>1078</v>
      </c>
      <c r="L111">
        <v>1368</v>
      </c>
      <c r="N111">
        <v>1011</v>
      </c>
      <c r="O111" t="s">
        <v>1006</v>
      </c>
      <c r="P111" t="s">
        <v>1006</v>
      </c>
      <c r="Q111">
        <v>1</v>
      </c>
      <c r="X111">
        <v>0.2</v>
      </c>
      <c r="Y111">
        <v>0</v>
      </c>
      <c r="Z111">
        <v>662.58</v>
      </c>
      <c r="AA111">
        <v>229.54</v>
      </c>
      <c r="AB111">
        <v>0</v>
      </c>
      <c r="AC111">
        <v>0</v>
      </c>
      <c r="AD111">
        <v>1</v>
      </c>
      <c r="AE111">
        <v>0</v>
      </c>
      <c r="AF111" t="s">
        <v>820</v>
      </c>
      <c r="AG111">
        <v>0.25</v>
      </c>
      <c r="AH111">
        <v>2</v>
      </c>
      <c r="AI111">
        <v>51867119</v>
      </c>
      <c r="AJ111">
        <v>103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ROW(Source!A56)</f>
        <v>56</v>
      </c>
      <c r="B112">
        <v>51867126</v>
      </c>
      <c r="C112">
        <v>51867116</v>
      </c>
      <c r="D112">
        <v>39129630</v>
      </c>
      <c r="E112">
        <v>1</v>
      </c>
      <c r="F112">
        <v>1</v>
      </c>
      <c r="G112">
        <v>1</v>
      </c>
      <c r="H112">
        <v>2</v>
      </c>
      <c r="I112" t="s">
        <v>1032</v>
      </c>
      <c r="J112" t="s">
        <v>1033</v>
      </c>
      <c r="K112" t="s">
        <v>1034</v>
      </c>
      <c r="L112">
        <v>1368</v>
      </c>
      <c r="N112">
        <v>1011</v>
      </c>
      <c r="O112" t="s">
        <v>1006</v>
      </c>
      <c r="P112" t="s">
        <v>1006</v>
      </c>
      <c r="Q112">
        <v>1</v>
      </c>
      <c r="X112">
        <v>7.0000000000000007E-2</v>
      </c>
      <c r="Y112">
        <v>0</v>
      </c>
      <c r="Z112">
        <v>772.82</v>
      </c>
      <c r="AA112">
        <v>196.34</v>
      </c>
      <c r="AB112">
        <v>0</v>
      </c>
      <c r="AC112">
        <v>0</v>
      </c>
      <c r="AD112">
        <v>1</v>
      </c>
      <c r="AE112">
        <v>0</v>
      </c>
      <c r="AF112" t="s">
        <v>820</v>
      </c>
      <c r="AG112">
        <v>8.7499999999999994E-2</v>
      </c>
      <c r="AH112">
        <v>2</v>
      </c>
      <c r="AI112">
        <v>51867120</v>
      </c>
      <c r="AJ112">
        <v>104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ROW(Source!A56)</f>
        <v>56</v>
      </c>
      <c r="B113">
        <v>51867127</v>
      </c>
      <c r="C113">
        <v>51867116</v>
      </c>
      <c r="D113">
        <v>39062170</v>
      </c>
      <c r="E113">
        <v>1</v>
      </c>
      <c r="F113">
        <v>1</v>
      </c>
      <c r="G113">
        <v>1</v>
      </c>
      <c r="H113">
        <v>3</v>
      </c>
      <c r="I113" t="s">
        <v>1079</v>
      </c>
      <c r="J113" t="s">
        <v>1080</v>
      </c>
      <c r="K113" t="s">
        <v>1081</v>
      </c>
      <c r="L113">
        <v>1348</v>
      </c>
      <c r="N113">
        <v>1009</v>
      </c>
      <c r="O113" t="s">
        <v>99</v>
      </c>
      <c r="P113" t="s">
        <v>99</v>
      </c>
      <c r="Q113">
        <v>1000</v>
      </c>
      <c r="X113">
        <v>4.0000000000000001E-3</v>
      </c>
      <c r="Y113">
        <v>42903.28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G113">
        <v>4.0000000000000001E-3</v>
      </c>
      <c r="AH113">
        <v>2</v>
      </c>
      <c r="AI113">
        <v>51867121</v>
      </c>
      <c r="AJ113">
        <v>105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ROW(Source!A56)</f>
        <v>56</v>
      </c>
      <c r="B114">
        <v>51867128</v>
      </c>
      <c r="C114">
        <v>51867116</v>
      </c>
      <c r="D114">
        <v>39061451</v>
      </c>
      <c r="E114">
        <v>1</v>
      </c>
      <c r="F114">
        <v>1</v>
      </c>
      <c r="G114">
        <v>1</v>
      </c>
      <c r="H114">
        <v>3</v>
      </c>
      <c r="I114" t="s">
        <v>1082</v>
      </c>
      <c r="J114" t="s">
        <v>1083</v>
      </c>
      <c r="K114" t="s">
        <v>1084</v>
      </c>
      <c r="L114">
        <v>1348</v>
      </c>
      <c r="N114">
        <v>1009</v>
      </c>
      <c r="O114" t="s">
        <v>99</v>
      </c>
      <c r="P114" t="s">
        <v>99</v>
      </c>
      <c r="Q114">
        <v>1000</v>
      </c>
      <c r="X114">
        <v>1.2E-2</v>
      </c>
      <c r="Y114">
        <v>39926.980000000003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G114">
        <v>1.2E-2</v>
      </c>
      <c r="AH114">
        <v>2</v>
      </c>
      <c r="AI114">
        <v>51867122</v>
      </c>
      <c r="AJ114">
        <v>106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ROW(Source!A56)</f>
        <v>56</v>
      </c>
      <c r="B115">
        <v>51867129</v>
      </c>
      <c r="C115">
        <v>51867116</v>
      </c>
      <c r="D115">
        <v>39061026</v>
      </c>
      <c r="E115">
        <v>1</v>
      </c>
      <c r="F115">
        <v>1</v>
      </c>
      <c r="G115">
        <v>1</v>
      </c>
      <c r="H115">
        <v>3</v>
      </c>
      <c r="I115" t="s">
        <v>1105</v>
      </c>
      <c r="J115" t="s">
        <v>1106</v>
      </c>
      <c r="K115" t="s">
        <v>1107</v>
      </c>
      <c r="L115">
        <v>1348</v>
      </c>
      <c r="N115">
        <v>1009</v>
      </c>
      <c r="O115" t="s">
        <v>99</v>
      </c>
      <c r="P115" t="s">
        <v>99</v>
      </c>
      <c r="Q115">
        <v>1000</v>
      </c>
      <c r="X115">
        <v>0.78200000000000003</v>
      </c>
      <c r="Y115">
        <v>52650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G115">
        <v>0.78200000000000003</v>
      </c>
      <c r="AH115">
        <v>3</v>
      </c>
      <c r="AI115">
        <v>-1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ROW(Source!A57)</f>
        <v>57</v>
      </c>
      <c r="B116">
        <v>51867123</v>
      </c>
      <c r="C116">
        <v>51867116</v>
      </c>
      <c r="D116">
        <v>23129805</v>
      </c>
      <c r="E116">
        <v>1</v>
      </c>
      <c r="F116">
        <v>1</v>
      </c>
      <c r="G116">
        <v>1</v>
      </c>
      <c r="H116">
        <v>1</v>
      </c>
      <c r="I116" t="s">
        <v>1054</v>
      </c>
      <c r="K116" t="s">
        <v>1055</v>
      </c>
      <c r="L116">
        <v>1369</v>
      </c>
      <c r="N116">
        <v>1013</v>
      </c>
      <c r="O116" t="s">
        <v>71</v>
      </c>
      <c r="P116" t="s">
        <v>71</v>
      </c>
      <c r="Q116">
        <v>1</v>
      </c>
      <c r="X116">
        <v>112.75</v>
      </c>
      <c r="Y116">
        <v>0</v>
      </c>
      <c r="Z116">
        <v>0</v>
      </c>
      <c r="AA116">
        <v>0</v>
      </c>
      <c r="AB116">
        <v>149.68</v>
      </c>
      <c r="AC116">
        <v>0</v>
      </c>
      <c r="AD116">
        <v>1</v>
      </c>
      <c r="AE116">
        <v>1</v>
      </c>
      <c r="AF116" t="s">
        <v>821</v>
      </c>
      <c r="AG116">
        <v>129.66249999999999</v>
      </c>
      <c r="AH116">
        <v>2</v>
      </c>
      <c r="AI116">
        <v>51867117</v>
      </c>
      <c r="AJ116">
        <v>107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ROW(Source!A57)</f>
        <v>57</v>
      </c>
      <c r="B117">
        <v>51867124</v>
      </c>
      <c r="C117">
        <v>51867116</v>
      </c>
      <c r="D117">
        <v>121548</v>
      </c>
      <c r="E117">
        <v>1</v>
      </c>
      <c r="F117">
        <v>1</v>
      </c>
      <c r="G117">
        <v>1</v>
      </c>
      <c r="H117">
        <v>1</v>
      </c>
      <c r="I117" t="s">
        <v>96</v>
      </c>
      <c r="K117" t="s">
        <v>1001</v>
      </c>
      <c r="L117">
        <v>608254</v>
      </c>
      <c r="N117">
        <v>1013</v>
      </c>
      <c r="O117" t="s">
        <v>1002</v>
      </c>
      <c r="P117" t="s">
        <v>1002</v>
      </c>
      <c r="Q117">
        <v>1</v>
      </c>
      <c r="X117">
        <v>0.2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2</v>
      </c>
      <c r="AF117" t="s">
        <v>820</v>
      </c>
      <c r="AG117">
        <v>0.25</v>
      </c>
      <c r="AH117">
        <v>2</v>
      </c>
      <c r="AI117">
        <v>51867118</v>
      </c>
      <c r="AJ117">
        <v>108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ROW(Source!A57)</f>
        <v>57</v>
      </c>
      <c r="B118">
        <v>51867125</v>
      </c>
      <c r="C118">
        <v>51867116</v>
      </c>
      <c r="D118">
        <v>39127533</v>
      </c>
      <c r="E118">
        <v>1</v>
      </c>
      <c r="F118">
        <v>1</v>
      </c>
      <c r="G118">
        <v>1</v>
      </c>
      <c r="H118">
        <v>2</v>
      </c>
      <c r="I118" t="s">
        <v>1076</v>
      </c>
      <c r="J118" t="s">
        <v>1077</v>
      </c>
      <c r="K118" t="s">
        <v>1078</v>
      </c>
      <c r="L118">
        <v>1368</v>
      </c>
      <c r="N118">
        <v>1011</v>
      </c>
      <c r="O118" t="s">
        <v>1006</v>
      </c>
      <c r="P118" t="s">
        <v>1006</v>
      </c>
      <c r="Q118">
        <v>1</v>
      </c>
      <c r="X118">
        <v>0.2</v>
      </c>
      <c r="Y118">
        <v>0</v>
      </c>
      <c r="Z118">
        <v>671.97</v>
      </c>
      <c r="AA118">
        <v>239.1</v>
      </c>
      <c r="AB118">
        <v>0</v>
      </c>
      <c r="AC118">
        <v>0</v>
      </c>
      <c r="AD118">
        <v>1</v>
      </c>
      <c r="AE118">
        <v>0</v>
      </c>
      <c r="AF118" t="s">
        <v>820</v>
      </c>
      <c r="AG118">
        <v>0.25</v>
      </c>
      <c r="AH118">
        <v>2</v>
      </c>
      <c r="AI118">
        <v>51867119</v>
      </c>
      <c r="AJ118">
        <v>109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ROW(Source!A57)</f>
        <v>57</v>
      </c>
      <c r="B119">
        <v>51867126</v>
      </c>
      <c r="C119">
        <v>51867116</v>
      </c>
      <c r="D119">
        <v>39129630</v>
      </c>
      <c r="E119">
        <v>1</v>
      </c>
      <c r="F119">
        <v>1</v>
      </c>
      <c r="G119">
        <v>1</v>
      </c>
      <c r="H119">
        <v>2</v>
      </c>
      <c r="I119" t="s">
        <v>1032</v>
      </c>
      <c r="J119" t="s">
        <v>1033</v>
      </c>
      <c r="K119" t="s">
        <v>1034</v>
      </c>
      <c r="L119">
        <v>1368</v>
      </c>
      <c r="N119">
        <v>1011</v>
      </c>
      <c r="O119" t="s">
        <v>1006</v>
      </c>
      <c r="P119" t="s">
        <v>1006</v>
      </c>
      <c r="Q119">
        <v>1</v>
      </c>
      <c r="X119">
        <v>7.0000000000000007E-2</v>
      </c>
      <c r="Y119">
        <v>0</v>
      </c>
      <c r="Z119">
        <v>800.28</v>
      </c>
      <c r="AA119">
        <v>204.52</v>
      </c>
      <c r="AB119">
        <v>0</v>
      </c>
      <c r="AC119">
        <v>0</v>
      </c>
      <c r="AD119">
        <v>1</v>
      </c>
      <c r="AE119">
        <v>0</v>
      </c>
      <c r="AF119" t="s">
        <v>820</v>
      </c>
      <c r="AG119">
        <v>8.7499999999999994E-2</v>
      </c>
      <c r="AH119">
        <v>2</v>
      </c>
      <c r="AI119">
        <v>51867120</v>
      </c>
      <c r="AJ119">
        <v>110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ROW(Source!A57)</f>
        <v>57</v>
      </c>
      <c r="B120">
        <v>51867127</v>
      </c>
      <c r="C120">
        <v>51867116</v>
      </c>
      <c r="D120">
        <v>39062170</v>
      </c>
      <c r="E120">
        <v>1</v>
      </c>
      <c r="F120">
        <v>1</v>
      </c>
      <c r="G120">
        <v>1</v>
      </c>
      <c r="H120">
        <v>3</v>
      </c>
      <c r="I120" t="s">
        <v>1079</v>
      </c>
      <c r="J120" t="s">
        <v>1080</v>
      </c>
      <c r="K120" t="s">
        <v>1081</v>
      </c>
      <c r="L120">
        <v>1348</v>
      </c>
      <c r="N120">
        <v>1009</v>
      </c>
      <c r="O120" t="s">
        <v>99</v>
      </c>
      <c r="P120" t="s">
        <v>99</v>
      </c>
      <c r="Q120">
        <v>1000</v>
      </c>
      <c r="X120">
        <v>4.0000000000000001E-3</v>
      </c>
      <c r="Y120">
        <v>42915.58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G120">
        <v>4.0000000000000001E-3</v>
      </c>
      <c r="AH120">
        <v>2</v>
      </c>
      <c r="AI120">
        <v>51867121</v>
      </c>
      <c r="AJ120">
        <v>111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ROW(Source!A57)</f>
        <v>57</v>
      </c>
      <c r="B121">
        <v>51867128</v>
      </c>
      <c r="C121">
        <v>51867116</v>
      </c>
      <c r="D121">
        <v>39061451</v>
      </c>
      <c r="E121">
        <v>1</v>
      </c>
      <c r="F121">
        <v>1</v>
      </c>
      <c r="G121">
        <v>1</v>
      </c>
      <c r="H121">
        <v>3</v>
      </c>
      <c r="I121" t="s">
        <v>1082</v>
      </c>
      <c r="J121" t="s">
        <v>1083</v>
      </c>
      <c r="K121" t="s">
        <v>1084</v>
      </c>
      <c r="L121">
        <v>1348</v>
      </c>
      <c r="N121">
        <v>1009</v>
      </c>
      <c r="O121" t="s">
        <v>99</v>
      </c>
      <c r="P121" t="s">
        <v>99</v>
      </c>
      <c r="Q121">
        <v>1000</v>
      </c>
      <c r="X121">
        <v>1.2E-2</v>
      </c>
      <c r="Y121">
        <v>39938.17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G121">
        <v>1.2E-2</v>
      </c>
      <c r="AH121">
        <v>2</v>
      </c>
      <c r="AI121">
        <v>51867122</v>
      </c>
      <c r="AJ121">
        <v>112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ROW(Source!A57)</f>
        <v>57</v>
      </c>
      <c r="B122">
        <v>51867129</v>
      </c>
      <c r="C122">
        <v>51867116</v>
      </c>
      <c r="D122">
        <v>39061026</v>
      </c>
      <c r="E122">
        <v>1</v>
      </c>
      <c r="F122">
        <v>1</v>
      </c>
      <c r="G122">
        <v>1</v>
      </c>
      <c r="H122">
        <v>3</v>
      </c>
      <c r="I122" t="s">
        <v>1105</v>
      </c>
      <c r="J122" t="s">
        <v>1106</v>
      </c>
      <c r="K122" t="s">
        <v>1107</v>
      </c>
      <c r="L122">
        <v>1348</v>
      </c>
      <c r="N122">
        <v>1009</v>
      </c>
      <c r="O122" t="s">
        <v>99</v>
      </c>
      <c r="P122" t="s">
        <v>99</v>
      </c>
      <c r="Q122">
        <v>1000</v>
      </c>
      <c r="X122">
        <v>0.78200000000000003</v>
      </c>
      <c r="Y122">
        <v>55225.69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G122">
        <v>0.78200000000000003</v>
      </c>
      <c r="AH122">
        <v>3</v>
      </c>
      <c r="AI122">
        <v>-1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ROW(Source!A60)</f>
        <v>60</v>
      </c>
      <c r="B123">
        <v>51867134</v>
      </c>
      <c r="C123">
        <v>51867131</v>
      </c>
      <c r="D123">
        <v>23132580</v>
      </c>
      <c r="E123">
        <v>1</v>
      </c>
      <c r="F123">
        <v>1</v>
      </c>
      <c r="G123">
        <v>1</v>
      </c>
      <c r="H123">
        <v>1</v>
      </c>
      <c r="I123" t="s">
        <v>1085</v>
      </c>
      <c r="K123" t="s">
        <v>1086</v>
      </c>
      <c r="L123">
        <v>1369</v>
      </c>
      <c r="N123">
        <v>1013</v>
      </c>
      <c r="O123" t="s">
        <v>71</v>
      </c>
      <c r="P123" t="s">
        <v>71</v>
      </c>
      <c r="Q123">
        <v>1</v>
      </c>
      <c r="X123">
        <v>0.57769999999999999</v>
      </c>
      <c r="Y123">
        <v>0</v>
      </c>
      <c r="Z123">
        <v>0</v>
      </c>
      <c r="AA123">
        <v>0</v>
      </c>
      <c r="AB123">
        <v>126.2</v>
      </c>
      <c r="AC123">
        <v>0</v>
      </c>
      <c r="AD123">
        <v>1</v>
      </c>
      <c r="AE123">
        <v>1</v>
      </c>
      <c r="AG123">
        <v>0.57769999999999999</v>
      </c>
      <c r="AH123">
        <v>2</v>
      </c>
      <c r="AI123">
        <v>51867132</v>
      </c>
      <c r="AJ123">
        <v>113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ROW(Source!A60)</f>
        <v>60</v>
      </c>
      <c r="B124">
        <v>51867135</v>
      </c>
      <c r="C124">
        <v>51867131</v>
      </c>
      <c r="D124">
        <v>39129637</v>
      </c>
      <c r="E124">
        <v>1</v>
      </c>
      <c r="F124">
        <v>1</v>
      </c>
      <c r="G124">
        <v>1</v>
      </c>
      <c r="H124">
        <v>2</v>
      </c>
      <c r="I124" t="s">
        <v>1087</v>
      </c>
      <c r="J124" t="s">
        <v>1088</v>
      </c>
      <c r="K124" t="s">
        <v>1089</v>
      </c>
      <c r="L124">
        <v>1368</v>
      </c>
      <c r="N124">
        <v>1011</v>
      </c>
      <c r="O124" t="s">
        <v>1006</v>
      </c>
      <c r="P124" t="s">
        <v>1006</v>
      </c>
      <c r="Q124">
        <v>1</v>
      </c>
      <c r="X124">
        <v>0.28999999999999998</v>
      </c>
      <c r="Y124">
        <v>0</v>
      </c>
      <c r="Z124">
        <v>785.98</v>
      </c>
      <c r="AA124">
        <v>196.34</v>
      </c>
      <c r="AB124">
        <v>0</v>
      </c>
      <c r="AC124">
        <v>0</v>
      </c>
      <c r="AD124">
        <v>1</v>
      </c>
      <c r="AE124">
        <v>0</v>
      </c>
      <c r="AG124">
        <v>0.28999999999999998</v>
      </c>
      <c r="AH124">
        <v>2</v>
      </c>
      <c r="AI124">
        <v>51867133</v>
      </c>
      <c r="AJ124">
        <v>114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ROW(Source!A61)</f>
        <v>61</v>
      </c>
      <c r="B125">
        <v>51867134</v>
      </c>
      <c r="C125">
        <v>51867131</v>
      </c>
      <c r="D125">
        <v>23132580</v>
      </c>
      <c r="E125">
        <v>1</v>
      </c>
      <c r="F125">
        <v>1</v>
      </c>
      <c r="G125">
        <v>1</v>
      </c>
      <c r="H125">
        <v>1</v>
      </c>
      <c r="I125" t="s">
        <v>1085</v>
      </c>
      <c r="K125" t="s">
        <v>1086</v>
      </c>
      <c r="L125">
        <v>1369</v>
      </c>
      <c r="N125">
        <v>1013</v>
      </c>
      <c r="O125" t="s">
        <v>71</v>
      </c>
      <c r="P125" t="s">
        <v>71</v>
      </c>
      <c r="Q125">
        <v>1</v>
      </c>
      <c r="X125">
        <v>0.57769999999999999</v>
      </c>
      <c r="Y125">
        <v>0</v>
      </c>
      <c r="Z125">
        <v>0</v>
      </c>
      <c r="AA125">
        <v>0</v>
      </c>
      <c r="AB125">
        <v>126.2</v>
      </c>
      <c r="AC125">
        <v>0</v>
      </c>
      <c r="AD125">
        <v>1</v>
      </c>
      <c r="AE125">
        <v>1</v>
      </c>
      <c r="AG125">
        <v>0.57769999999999999</v>
      </c>
      <c r="AH125">
        <v>2</v>
      </c>
      <c r="AI125">
        <v>51867132</v>
      </c>
      <c r="AJ125">
        <v>115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ROW(Source!A61)</f>
        <v>61</v>
      </c>
      <c r="B126">
        <v>51867135</v>
      </c>
      <c r="C126">
        <v>51867131</v>
      </c>
      <c r="D126">
        <v>39129637</v>
      </c>
      <c r="E126">
        <v>1</v>
      </c>
      <c r="F126">
        <v>1</v>
      </c>
      <c r="G126">
        <v>1</v>
      </c>
      <c r="H126">
        <v>2</v>
      </c>
      <c r="I126" t="s">
        <v>1087</v>
      </c>
      <c r="J126" t="s">
        <v>1088</v>
      </c>
      <c r="K126" t="s">
        <v>1089</v>
      </c>
      <c r="L126">
        <v>1368</v>
      </c>
      <c r="N126">
        <v>1011</v>
      </c>
      <c r="O126" t="s">
        <v>1006</v>
      </c>
      <c r="P126" t="s">
        <v>1006</v>
      </c>
      <c r="Q126">
        <v>1</v>
      </c>
      <c r="X126">
        <v>0.28999999999999998</v>
      </c>
      <c r="Y126">
        <v>0</v>
      </c>
      <c r="Z126">
        <v>808.9</v>
      </c>
      <c r="AA126">
        <v>204.52</v>
      </c>
      <c r="AB126">
        <v>0</v>
      </c>
      <c r="AC126">
        <v>0</v>
      </c>
      <c r="AD126">
        <v>1</v>
      </c>
      <c r="AE126">
        <v>0</v>
      </c>
      <c r="AG126">
        <v>0.28999999999999998</v>
      </c>
      <c r="AH126">
        <v>2</v>
      </c>
      <c r="AI126">
        <v>51867133</v>
      </c>
      <c r="AJ126">
        <v>116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ROW(Source!A62)</f>
        <v>62</v>
      </c>
      <c r="B127">
        <v>51868260</v>
      </c>
      <c r="C127">
        <v>51867136</v>
      </c>
      <c r="D127">
        <v>39129638</v>
      </c>
      <c r="E127">
        <v>1</v>
      </c>
      <c r="F127">
        <v>1</v>
      </c>
      <c r="G127">
        <v>1</v>
      </c>
      <c r="H127">
        <v>2</v>
      </c>
      <c r="I127" t="s">
        <v>1090</v>
      </c>
      <c r="J127" t="s">
        <v>1091</v>
      </c>
      <c r="K127" t="s">
        <v>1092</v>
      </c>
      <c r="L127">
        <v>1368</v>
      </c>
      <c r="N127">
        <v>1011</v>
      </c>
      <c r="O127" t="s">
        <v>1006</v>
      </c>
      <c r="P127" t="s">
        <v>1006</v>
      </c>
      <c r="Q127">
        <v>1</v>
      </c>
      <c r="X127">
        <v>0.19950000000000001</v>
      </c>
      <c r="Y127">
        <v>0</v>
      </c>
      <c r="Z127">
        <v>104.49</v>
      </c>
      <c r="AA127">
        <v>12.1</v>
      </c>
      <c r="AB127">
        <v>0</v>
      </c>
      <c r="AC127">
        <v>0</v>
      </c>
      <c r="AD127">
        <v>1</v>
      </c>
      <c r="AE127">
        <v>0</v>
      </c>
      <c r="AG127">
        <v>0.19950000000000001</v>
      </c>
      <c r="AH127">
        <v>2</v>
      </c>
      <c r="AI127">
        <v>51868260</v>
      </c>
      <c r="AJ127">
        <v>117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ROW(Source!A63)</f>
        <v>63</v>
      </c>
      <c r="B128">
        <v>51868260</v>
      </c>
      <c r="C128">
        <v>51867136</v>
      </c>
      <c r="D128">
        <v>39129638</v>
      </c>
      <c r="E128">
        <v>1</v>
      </c>
      <c r="F128">
        <v>1</v>
      </c>
      <c r="G128">
        <v>1</v>
      </c>
      <c r="H128">
        <v>2</v>
      </c>
      <c r="I128" t="s">
        <v>1090</v>
      </c>
      <c r="J128" t="s">
        <v>1091</v>
      </c>
      <c r="K128" t="s">
        <v>1092</v>
      </c>
      <c r="L128">
        <v>1368</v>
      </c>
      <c r="N128">
        <v>1011</v>
      </c>
      <c r="O128" t="s">
        <v>1006</v>
      </c>
      <c r="P128" t="s">
        <v>1006</v>
      </c>
      <c r="Q128">
        <v>1</v>
      </c>
      <c r="X128">
        <v>0.19950000000000001</v>
      </c>
      <c r="Y128">
        <v>0</v>
      </c>
      <c r="Z128">
        <v>934.73</v>
      </c>
      <c r="AA128">
        <v>239.1</v>
      </c>
      <c r="AB128">
        <v>0</v>
      </c>
      <c r="AC128">
        <v>0</v>
      </c>
      <c r="AD128">
        <v>1</v>
      </c>
      <c r="AE128">
        <v>0</v>
      </c>
      <c r="AG128">
        <v>0.19950000000000001</v>
      </c>
      <c r="AH128">
        <v>2</v>
      </c>
      <c r="AI128">
        <v>51868260</v>
      </c>
      <c r="AJ128">
        <v>118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</sheetData>
  <printOptions gridLines="1"/>
  <pageMargins left="0.75" right="0.75" top="1" bottom="1" header="0.5" footer="0.5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19</vt:i4>
      </vt:variant>
    </vt:vector>
  </HeadingPairs>
  <TitlesOfParts>
    <vt:vector size="35" baseType="lpstr">
      <vt:lpstr>UnionSheet</vt:lpstr>
      <vt:lpstr>Дефектная ведомость</vt:lpstr>
      <vt:lpstr>Локальная ресурсная ведомо</vt:lpstr>
      <vt:lpstr>02-01-01</vt:lpstr>
      <vt:lpstr>02-01-02</vt:lpstr>
      <vt:lpstr>02-01-03</vt:lpstr>
      <vt:lpstr>02-01-04</vt:lpstr>
      <vt:lpstr>02-01-05</vt:lpstr>
      <vt:lpstr>ОС 3 кв 2020</vt:lpstr>
      <vt:lpstr>ОС 2001</vt:lpstr>
      <vt:lpstr>ССР 2000</vt:lpstr>
      <vt:lpstr>ССР 3 кв20г</vt:lpstr>
      <vt:lpstr>Source</vt:lpstr>
      <vt:lpstr>SourceObSm</vt:lpstr>
      <vt:lpstr>SmtRes</vt:lpstr>
      <vt:lpstr>EtalonRes</vt:lpstr>
      <vt:lpstr>'02-01-01'!Заголовки_для_печати</vt:lpstr>
      <vt:lpstr>'02-01-02'!Заголовки_для_печати</vt:lpstr>
      <vt:lpstr>'02-01-03'!Заголовки_для_печати</vt:lpstr>
      <vt:lpstr>'02-01-04'!Заголовки_для_печати</vt:lpstr>
      <vt:lpstr>'02-01-05'!Заголовки_для_печати</vt:lpstr>
      <vt:lpstr>'Дефектная ведомость'!Заголовки_для_печати</vt:lpstr>
      <vt:lpstr>'Локальная ресурсная ведомо'!Заголовки_для_печати</vt:lpstr>
      <vt:lpstr>'ОС 2001'!Заголовки_для_печати</vt:lpstr>
      <vt:lpstr>'02-01-01'!Область_печати</vt:lpstr>
      <vt:lpstr>'02-01-02'!Область_печати</vt:lpstr>
      <vt:lpstr>'02-01-03'!Область_печати</vt:lpstr>
      <vt:lpstr>'02-01-04'!Область_печати</vt:lpstr>
      <vt:lpstr>'02-01-05'!Область_печати</vt:lpstr>
      <vt:lpstr>'Дефектная ведомость'!Область_печати</vt:lpstr>
      <vt:lpstr>'Локальная ресурсная ведомо'!Область_печати</vt:lpstr>
      <vt:lpstr>'ОС 2001'!Область_печати</vt:lpstr>
      <vt:lpstr>'ОС 3 кв 2020'!Область_печати</vt:lpstr>
      <vt:lpstr>'ССР 2000'!Область_печати</vt:lpstr>
      <vt:lpstr>'ССР 3 кв20г'!Область_печати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User90</cp:lastModifiedBy>
  <cp:revision>1</cp:revision>
  <cp:lastPrinted>2020-05-07T14:21:51Z</cp:lastPrinted>
  <dcterms:created xsi:type="dcterms:W3CDTF">2020-01-18T07:51:51Z</dcterms:created>
  <dcterms:modified xsi:type="dcterms:W3CDTF">2023-11-09T14:03:50Z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