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 activeTab="1"/>
  </bookViews>
  <sheets>
    <sheet name="январь " sheetId="1" state="hidden" r:id="rId1"/>
    <sheet name="февраль-январь 2026" sheetId="2" r:id="rId2"/>
  </sheets>
  <calcPr calcId="144525" fullPrecision="0"/>
</workbook>
</file>

<file path=xl/calcChain.xml><?xml version="1.0" encoding="utf-8"?>
<calcChain xmlns="http://schemas.openxmlformats.org/spreadsheetml/2006/main">
  <c r="E53" i="2" l="1"/>
  <c r="M53" i="2"/>
  <c r="E42" i="2" l="1"/>
  <c r="M66" i="2" l="1"/>
  <c r="C61" i="2" l="1"/>
  <c r="G61" i="2" s="1"/>
  <c r="E59" i="2"/>
  <c r="C42" i="2"/>
  <c r="E33" i="2"/>
  <c r="E18" i="2"/>
  <c r="B16" i="2"/>
  <c r="E16" i="2" s="1"/>
  <c r="K12" i="2"/>
  <c r="E12" i="2"/>
  <c r="B14" i="2" s="1"/>
  <c r="E14" i="2" s="1"/>
  <c r="E8" i="2"/>
  <c r="E7" i="2"/>
  <c r="E61" i="1"/>
  <c r="C61" i="1"/>
  <c r="G61" i="1" s="1"/>
  <c r="E42" i="1"/>
  <c r="E50" i="1" s="1"/>
  <c r="E33" i="1"/>
  <c r="E12" i="1"/>
  <c r="E20" i="2" l="1"/>
  <c r="C23" i="2" s="1"/>
  <c r="E50" i="2"/>
  <c r="E43" i="2"/>
  <c r="C62" i="2" s="1"/>
  <c r="E19" i="2"/>
  <c r="E61" i="2"/>
  <c r="F61" i="2" s="1"/>
  <c r="E43" i="1"/>
  <c r="F61" i="1"/>
  <c r="B14" i="1"/>
  <c r="E14" i="1" s="1"/>
  <c r="E18" i="1"/>
  <c r="A23" i="1" s="1"/>
  <c r="B16" i="1"/>
  <c r="E16" i="1" s="1"/>
  <c r="A23" i="2"/>
  <c r="E19" i="1" l="1"/>
  <c r="B23" i="1"/>
  <c r="E23" i="1" s="1"/>
  <c r="C62" i="1"/>
  <c r="E53" i="1"/>
  <c r="E59" i="1" s="1"/>
  <c r="C63" i="2"/>
  <c r="E62" i="2"/>
  <c r="E65" i="2" s="1"/>
  <c r="E20" i="1"/>
  <c r="C23" i="1"/>
  <c r="E51" i="1"/>
  <c r="B23" i="2"/>
  <c r="E23" i="2" s="1"/>
  <c r="E25" i="2" l="1"/>
  <c r="E34" i="2" s="1"/>
  <c r="E25" i="1"/>
  <c r="E34" i="1" s="1"/>
  <c r="E62" i="1"/>
  <c r="E65" i="1" s="1"/>
  <c r="C63" i="1"/>
  <c r="E35" i="1" l="1"/>
  <c r="E37" i="1"/>
  <c r="E36" i="1"/>
  <c r="E38" i="1" s="1"/>
  <c r="E45" i="1" s="1"/>
  <c r="E35" i="2"/>
  <c r="E36" i="2" l="1"/>
  <c r="E37" i="2" l="1"/>
  <c r="E38" i="2" s="1"/>
  <c r="E45" i="2" s="1"/>
</calcChain>
</file>

<file path=xl/sharedStrings.xml><?xml version="1.0" encoding="utf-8"?>
<sst xmlns="http://schemas.openxmlformats.org/spreadsheetml/2006/main" count="163" uniqueCount="82">
  <si>
    <t xml:space="preserve">Рсчет стоимости охранных услуг в соответствии с Приказом Росгвардии от 15.02.2021 N 45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охранных услуг" на период с 01.01.2025 по 31.101.2025. МБДОУ Детский сад  "Рябинка" </t>
  </si>
  <si>
    <t>1 Расчет прямых затрат</t>
  </si>
  <si>
    <t>Си = (БЗП+ Дн+Двп+Дрк+РО+СВ)*U</t>
  </si>
  <si>
    <t>БЗП=МРОТ/СНР</t>
  </si>
  <si>
    <t>22 440,00 мрот 2025</t>
  </si>
  <si>
    <t>Количество дней охраны</t>
  </si>
  <si>
    <t>Количество праздничных дней</t>
  </si>
  <si>
    <t>Количество ночных часов</t>
  </si>
  <si>
    <t>Режим работы поста</t>
  </si>
  <si>
    <t>МРОТ</t>
  </si>
  <si>
    <t xml:space="preserve">норма часов </t>
  </si>
  <si>
    <t>ст-ть 1 часа</t>
  </si>
  <si>
    <t>БЗП=</t>
  </si>
  <si>
    <t>22440/166,91</t>
  </si>
  <si>
    <t>ночные в соответствии с ТК 20%</t>
  </si>
  <si>
    <t>Дн</t>
  </si>
  <si>
    <t>праздничные в соответствии с ТК в двойном размере</t>
  </si>
  <si>
    <t>Двп</t>
  </si>
  <si>
    <t>Дрк</t>
  </si>
  <si>
    <t>БЗП</t>
  </si>
  <si>
    <t>БЗП*Дрк</t>
  </si>
  <si>
    <t>Дн*Дрк</t>
  </si>
  <si>
    <t>Двп*Дрк</t>
  </si>
  <si>
    <t>Резерв Отпуск=((БЗП+Дн+Двп+Дрк)/12</t>
  </si>
  <si>
    <t>БЗП + Дрк</t>
  </si>
  <si>
    <t>Дн + Дрк</t>
  </si>
  <si>
    <t>Двп + Дрк</t>
  </si>
  <si>
    <t>12 мес</t>
  </si>
  <si>
    <t>РО</t>
  </si>
  <si>
    <t>СВ = (БЗП+Дн+Двп+Дрк+РО)*У</t>
  </si>
  <si>
    <t>Страховые взносы</t>
  </si>
  <si>
    <t>U=Uб+Uд1+Uд2+Uд3+Uд4+Uд5</t>
  </si>
  <si>
    <t>Uб</t>
  </si>
  <si>
    <t>Пост охраны в составе одного работника с режимом работы 24 часа</t>
  </si>
  <si>
    <t>Uд1</t>
  </si>
  <si>
    <t>Наличие спецсредств у работника</t>
  </si>
  <si>
    <t>Uд2</t>
  </si>
  <si>
    <t>Наличие служебного оружия у работника</t>
  </si>
  <si>
    <t>Uд3</t>
  </si>
  <si>
    <t>Обеспечение порядка в местах проведения массовых мероприятий</t>
  </si>
  <si>
    <t>Uд4</t>
  </si>
  <si>
    <t>Охрана объектов и (или) имущества, а также обеспечение внутриобъектового и пропускного режимов на объектах, в отношении которых установлены обязательные для выполнения требования к антитеррористической защищенности</t>
  </si>
  <si>
    <t>Uд5</t>
  </si>
  <si>
    <t>Наличие допуска к государственной тайне работника и режимно-секретного подразделения</t>
  </si>
  <si>
    <t xml:space="preserve">Итого корректирующий коэффициент </t>
  </si>
  <si>
    <t>Итого прямые затраты</t>
  </si>
  <si>
    <t>Косвенные расходы</t>
  </si>
  <si>
    <t>Прибыль</t>
  </si>
  <si>
    <t>НДС</t>
  </si>
  <si>
    <t>НМЦК 1 часа охраны</t>
  </si>
  <si>
    <t>Расчет количества часов</t>
  </si>
  <si>
    <t>Объект</t>
  </si>
  <si>
    <t>Местонахождение</t>
  </si>
  <si>
    <t>Кол-во дней охраны</t>
  </si>
  <si>
    <t>Кол-во часов в сутки</t>
  </si>
  <si>
    <t>Итого часов</t>
  </si>
  <si>
    <t>МБДОУ Детский сад "Рябинка"</t>
  </si>
  <si>
    <t>Ямало-Ненецкий автономный округ, город Салехард, ул. А.Матросова, д.18</t>
  </si>
  <si>
    <t>НМЦК за период с 01.01.2025 по 31.01.2025.</t>
  </si>
  <si>
    <t>Цена 1 ед</t>
  </si>
  <si>
    <t>НМЦК</t>
  </si>
  <si>
    <t xml:space="preserve">контракт </t>
  </si>
  <si>
    <t xml:space="preserve">Исполнитель </t>
  </si>
  <si>
    <t>экономист Трофимова Т.Н.</t>
  </si>
  <si>
    <t>январь проект контракта</t>
  </si>
  <si>
    <t xml:space="preserve">февраль-декабрь </t>
  </si>
  <si>
    <t xml:space="preserve">итого </t>
  </si>
  <si>
    <t>выделено</t>
  </si>
  <si>
    <t xml:space="preserve">остаток </t>
  </si>
  <si>
    <t>22440/163,67</t>
  </si>
  <si>
    <t>22440/128</t>
  </si>
  <si>
    <t>НМЦК за период с 01.02.2025 по 31.01.2026.</t>
  </si>
  <si>
    <t>общая</t>
  </si>
  <si>
    <t xml:space="preserve">для торгов </t>
  </si>
  <si>
    <t>ЯНВАРЬ</t>
  </si>
  <si>
    <t>А.И. Витязев</t>
  </si>
  <si>
    <t>февраль 25 - январь 2026</t>
  </si>
  <si>
    <t>ст. 72 БК</t>
  </si>
  <si>
    <t>МАУ ДО  «Детско-юношеский центр»</t>
  </si>
  <si>
    <t xml:space="preserve">Ямало-Ненецкий автономный округ, город  Салехард, ул. Арктическая, д. 16 и ул. Подшибякина, 53 </t>
  </si>
  <si>
    <t>Итого часов
 по двум объектам</t>
  </si>
  <si>
    <t>Рсчет стоимости охранных услуг в соответствии с Приказом Росгвардии от 15.02.2021 N 45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охранных услуг" на период 
с 01.02.2025 по 31.01.2026. МАУ ДО "ДЮЦ"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</si>
</sst>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-* #,##0.00\ _₽_-;\-* #,##0.00\ _₽_-;_-* &quot;-&quot;??\ _₽_-;_-@_-"/>
    <numFmt numFmtId="165" formatCode="0.0000000"/>
    <numFmt numFmtId="166" formatCode="#,##0.0000"/>
    <numFmt numFmtId="167" formatCode="#,##0.000"/>
    <numFmt numFmtId="168" formatCode="0.0000"/>
    <numFmt numFmtId="169" formatCode="#,##0.00000"/>
  </numFmts>
  <fonts count="7" x14ac:knownFonts="1">
    <font>
      <sz val="11"/>
      <color theme="1"/>
      <name val="PT Astra Serif"/>
    </font>
    <font>
      <sz val="11"/>
      <color theme="1"/>
      <name val="Calibri"/>
      <scheme val="minor"/>
    </font>
    <font>
      <b/>
      <sz val="11"/>
      <color theme="1"/>
      <name val="PT Astra Serif"/>
    </font>
    <font>
      <sz val="11"/>
      <name val="PT Astra Serif"/>
    </font>
    <font>
      <i/>
      <sz val="11"/>
      <color theme="1"/>
      <name val="PT Astra Serif"/>
    </font>
    <font>
      <sz val="11"/>
      <color theme="1"/>
      <name val="PT Astra Serif"/>
    </font>
    <font>
      <sz val="11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Protection="0"/>
  </cellStyleXfs>
  <cellXfs count="74">
    <xf numFmtId="0" fontId="0" fillId="0" borderId="0" xfId="0"/>
    <xf numFmtId="0" fontId="0" fillId="0" borderId="0" xfId="4" applyFont="1"/>
    <xf numFmtId="0" fontId="2" fillId="0" borderId="0" xfId="4" applyFont="1"/>
    <xf numFmtId="0" fontId="0" fillId="0" borderId="0" xfId="5" applyFont="1" applyAlignment="1">
      <alignment horizontal="center"/>
    </xf>
    <xf numFmtId="0" fontId="0" fillId="0" borderId="0" xfId="4" applyFont="1" applyAlignment="1">
      <alignment horizontal="center"/>
    </xf>
    <xf numFmtId="0" fontId="0" fillId="0" borderId="1" xfId="4" applyFont="1" applyBorder="1"/>
    <xf numFmtId="0" fontId="0" fillId="0" borderId="2" xfId="4" applyFont="1" applyBorder="1" applyAlignment="1">
      <alignment horizontal="center" vertical="center"/>
    </xf>
    <xf numFmtId="0" fontId="0" fillId="0" borderId="2" xfId="4" applyFont="1" applyBorder="1"/>
    <xf numFmtId="4" fontId="0" fillId="0" borderId="2" xfId="5" applyNumberFormat="1" applyFont="1" applyBorder="1"/>
    <xf numFmtId="0" fontId="0" fillId="2" borderId="2" xfId="5" applyFont="1" applyFill="1" applyBorder="1"/>
    <xf numFmtId="0" fontId="0" fillId="2" borderId="0" xfId="5" applyFont="1" applyFill="1" applyAlignment="1">
      <alignment horizontal="center"/>
    </xf>
    <xf numFmtId="4" fontId="0" fillId="0" borderId="2" xfId="4" applyNumberFormat="1" applyFont="1" applyBorder="1"/>
    <xf numFmtId="9" fontId="0" fillId="0" borderId="2" xfId="4" applyNumberFormat="1" applyFont="1" applyBorder="1"/>
    <xf numFmtId="4" fontId="0" fillId="0" borderId="1" xfId="4" applyNumberFormat="1" applyFont="1" applyBorder="1"/>
    <xf numFmtId="0" fontId="2" fillId="0" borderId="2" xfId="4" applyFont="1" applyBorder="1"/>
    <xf numFmtId="4" fontId="0" fillId="0" borderId="3" xfId="4" applyNumberFormat="1" applyFont="1" applyBorder="1"/>
    <xf numFmtId="0" fontId="0" fillId="0" borderId="2" xfId="4" applyFont="1" applyBorder="1" applyAlignment="1">
      <alignment horizontal="center" vertical="center" wrapText="1"/>
    </xf>
    <xf numFmtId="2" fontId="0" fillId="0" borderId="2" xfId="4" applyNumberFormat="1" applyFont="1" applyBorder="1"/>
    <xf numFmtId="1" fontId="0" fillId="0" borderId="2" xfId="4" applyNumberFormat="1" applyFont="1" applyBorder="1"/>
    <xf numFmtId="4" fontId="0" fillId="0" borderId="0" xfId="4" applyNumberFormat="1" applyFont="1"/>
    <xf numFmtId="0" fontId="2" fillId="0" borderId="1" xfId="4" applyFont="1" applyBorder="1"/>
    <xf numFmtId="0" fontId="2" fillId="0" borderId="4" xfId="4" applyFont="1" applyBorder="1"/>
    <xf numFmtId="10" fontId="2" fillId="0" borderId="4" xfId="4" applyNumberFormat="1" applyFont="1" applyBorder="1"/>
    <xf numFmtId="4" fontId="2" fillId="0" borderId="3" xfId="4" applyNumberFormat="1" applyFont="1" applyBorder="1"/>
    <xf numFmtId="0" fontId="0" fillId="0" borderId="2" xfId="4" applyFont="1" applyBorder="1" applyAlignment="1">
      <alignment wrapText="1"/>
    </xf>
    <xf numFmtId="0" fontId="3" fillId="0" borderId="0" xfId="4" applyFont="1"/>
    <xf numFmtId="0" fontId="3" fillId="0" borderId="2" xfId="4" applyFont="1" applyBorder="1"/>
    <xf numFmtId="2" fontId="0" fillId="0" borderId="3" xfId="4" applyNumberFormat="1" applyFont="1" applyBorder="1"/>
    <xf numFmtId="0" fontId="4" fillId="0" borderId="0" xfId="4" applyFont="1"/>
    <xf numFmtId="4" fontId="4" fillId="0" borderId="0" xfId="4" applyNumberFormat="1" applyFont="1"/>
    <xf numFmtId="9" fontId="4" fillId="0" borderId="0" xfId="4" applyNumberFormat="1" applyFont="1"/>
    <xf numFmtId="4" fontId="2" fillId="0" borderId="0" xfId="4" applyNumberFormat="1" applyFont="1"/>
    <xf numFmtId="0" fontId="0" fillId="0" borderId="2" xfId="4" applyFont="1" applyBorder="1" applyAlignment="1">
      <alignment horizontal="center" wrapText="1"/>
    </xf>
    <xf numFmtId="0" fontId="0" fillId="0" borderId="2" xfId="4" applyFont="1" applyBorder="1" applyAlignment="1">
      <alignment horizontal="center"/>
    </xf>
    <xf numFmtId="0" fontId="0" fillId="0" borderId="5" xfId="4" applyFont="1" applyBorder="1" applyAlignment="1">
      <alignment horizontal="left" vertical="center" wrapText="1"/>
    </xf>
    <xf numFmtId="165" fontId="0" fillId="0" borderId="0" xfId="4" applyNumberFormat="1" applyFont="1"/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/>
    <xf numFmtId="166" fontId="0" fillId="0" borderId="0" xfId="4" applyNumberFormat="1" applyFont="1"/>
    <xf numFmtId="4" fontId="0" fillId="0" borderId="0" xfId="0" applyNumberFormat="1"/>
    <xf numFmtId="0" fontId="0" fillId="0" borderId="0" xfId="0"/>
    <xf numFmtId="167" fontId="2" fillId="0" borderId="2" xfId="0" applyNumberFormat="1" applyFont="1" applyBorder="1"/>
    <xf numFmtId="0" fontId="0" fillId="0" borderId="6" xfId="0" applyBorder="1"/>
    <xf numFmtId="0" fontId="2" fillId="0" borderId="0" xfId="0" applyFont="1" applyAlignment="1">
      <alignment horizontal="right"/>
    </xf>
    <xf numFmtId="167" fontId="2" fillId="0" borderId="0" xfId="0" applyNumberFormat="1" applyFont="1"/>
    <xf numFmtId="168" fontId="0" fillId="0" borderId="0" xfId="4" applyNumberFormat="1" applyFont="1"/>
    <xf numFmtId="0" fontId="0" fillId="3" borderId="0" xfId="0" applyFill="1"/>
    <xf numFmtId="4" fontId="0" fillId="3" borderId="0" xfId="0" applyNumberFormat="1" applyFill="1"/>
    <xf numFmtId="169" fontId="0" fillId="3" borderId="0" xfId="0" applyNumberFormat="1" applyFill="1"/>
    <xf numFmtId="0" fontId="0" fillId="4" borderId="2" xfId="5" applyFont="1" applyFill="1" applyBorder="1"/>
    <xf numFmtId="0" fontId="0" fillId="4" borderId="0" xfId="5" applyFont="1" applyFill="1" applyAlignment="1">
      <alignment horizontal="center"/>
    </xf>
    <xf numFmtId="0" fontId="0" fillId="0" borderId="5" xfId="4" applyFont="1" applyBorder="1" applyAlignment="1">
      <alignment horizontal="left" vertical="center" wrapText="1"/>
    </xf>
    <xf numFmtId="0" fontId="0" fillId="0" borderId="2" xfId="4" applyFont="1" applyBorder="1" applyAlignment="1">
      <alignment wrapText="1"/>
    </xf>
    <xf numFmtId="164" fontId="0" fillId="4" borderId="0" xfId="6" applyNumberFormat="1" applyFont="1" applyFill="1"/>
    <xf numFmtId="0" fontId="2" fillId="4" borderId="2" xfId="0" applyFont="1" applyFill="1" applyBorder="1" applyAlignment="1">
      <alignment horizontal="right"/>
    </xf>
    <xf numFmtId="167" fontId="2" fillId="4" borderId="2" xfId="0" applyNumberFormat="1" applyFont="1" applyFill="1" applyBorder="1"/>
    <xf numFmtId="0" fontId="0" fillId="0" borderId="0" xfId="4" applyFont="1"/>
    <xf numFmtId="164" fontId="0" fillId="0" borderId="0" xfId="4" applyNumberFormat="1" applyFont="1"/>
    <xf numFmtId="0" fontId="6" fillId="0" borderId="0" xfId="4" applyFont="1"/>
    <xf numFmtId="43" fontId="0" fillId="0" borderId="0" xfId="4" applyNumberFormat="1" applyFont="1"/>
    <xf numFmtId="0" fontId="2" fillId="0" borderId="0" xfId="4" applyFont="1" applyAlignment="1">
      <alignment horizontal="center"/>
    </xf>
    <xf numFmtId="0" fontId="0" fillId="0" borderId="1" xfId="4" applyFont="1" applyBorder="1" applyAlignment="1">
      <alignment horizontal="left"/>
    </xf>
    <xf numFmtId="0" fontId="0" fillId="0" borderId="4" xfId="4" applyFont="1" applyBorder="1" applyAlignment="1">
      <alignment horizontal="left"/>
    </xf>
    <xf numFmtId="0" fontId="0" fillId="0" borderId="3" xfId="4" applyFont="1" applyBorder="1" applyAlignment="1">
      <alignment horizontal="left"/>
    </xf>
    <xf numFmtId="0" fontId="0" fillId="0" borderId="2" xfId="4" applyFont="1" applyBorder="1" applyAlignment="1">
      <alignment horizontal="left"/>
    </xf>
    <xf numFmtId="0" fontId="3" fillId="0" borderId="2" xfId="4" applyFont="1" applyBorder="1" applyAlignment="1">
      <alignment horizontal="left" wrapText="1"/>
    </xf>
    <xf numFmtId="0" fontId="0" fillId="0" borderId="2" xfId="4" applyFont="1" applyBorder="1" applyAlignment="1">
      <alignment horizontal="left" wrapText="1"/>
    </xf>
    <xf numFmtId="4" fontId="0" fillId="0" borderId="1" xfId="4" applyNumberFormat="1" applyFont="1" applyBorder="1" applyAlignment="1">
      <alignment horizontal="center"/>
    </xf>
    <xf numFmtId="4" fontId="0" fillId="0" borderId="4" xfId="4" applyNumberFormat="1" applyFont="1" applyBorder="1" applyAlignment="1">
      <alignment horizontal="center"/>
    </xf>
    <xf numFmtId="0" fontId="0" fillId="0" borderId="0" xfId="4" applyFont="1" applyAlignment="1">
      <alignment horizontal="center" wrapText="1"/>
    </xf>
    <xf numFmtId="0" fontId="0" fillId="0" borderId="1" xfId="4" applyFont="1" applyBorder="1" applyAlignment="1">
      <alignment horizontal="center" vertical="center"/>
    </xf>
    <xf numFmtId="0" fontId="0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left"/>
    </xf>
    <xf numFmtId="4" fontId="2" fillId="0" borderId="2" xfId="4" applyNumberFormat="1" applyFont="1" applyBorder="1" applyAlignment="1">
      <alignment horizontal="right"/>
    </xf>
  </cellXfs>
  <cellStyles count="7">
    <cellStyle name="Обычный" xfId="0" builtinId="0"/>
    <cellStyle name="Обычный 13" xfId="1"/>
    <cellStyle name="Обычный 166" xfId="2"/>
    <cellStyle name="Обычный 2" xfId="3"/>
    <cellStyle name="Обычный 3" xfId="4"/>
    <cellStyle name="Обычный 4" xfId="5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G65"/>
  <sheetViews>
    <sheetView workbookViewId="0">
      <selection activeCell="B12" sqref="B12:D12"/>
    </sheetView>
  </sheetViews>
  <sheetFormatPr defaultColWidth="9.125" defaultRowHeight="15" x14ac:dyDescent="0.25"/>
  <cols>
    <col min="1" max="1" width="24.5" style="1" customWidth="1"/>
    <col min="2" max="2" width="37.375" style="1" customWidth="1"/>
    <col min="3" max="3" width="12.875" style="1" customWidth="1"/>
    <col min="4" max="4" width="16.375" style="1" customWidth="1"/>
    <col min="5" max="5" width="15.5" style="1" customWidth="1"/>
    <col min="6" max="6" width="15.875" style="1" customWidth="1"/>
    <col min="7" max="16384" width="9.125" style="1"/>
  </cols>
  <sheetData>
    <row r="1" spans="1:5" ht="81" customHeight="1" x14ac:dyDescent="0.25">
      <c r="A1" s="69" t="s">
        <v>0</v>
      </c>
      <c r="B1" s="69"/>
      <c r="C1" s="69"/>
      <c r="D1" s="69"/>
      <c r="E1" s="69"/>
    </row>
    <row r="2" spans="1:5" x14ac:dyDescent="0.25">
      <c r="A2" s="2" t="s">
        <v>1</v>
      </c>
    </row>
    <row r="4" spans="1:5" x14ac:dyDescent="0.25">
      <c r="A4" s="1" t="s">
        <v>2</v>
      </c>
    </row>
    <row r="6" spans="1:5" x14ac:dyDescent="0.25">
      <c r="A6" s="2" t="s">
        <v>3</v>
      </c>
      <c r="C6" s="3" t="s">
        <v>4</v>
      </c>
    </row>
    <row r="7" spans="1:5" x14ac:dyDescent="0.25">
      <c r="A7" s="2" t="s">
        <v>5</v>
      </c>
      <c r="C7" s="4"/>
      <c r="E7" s="2">
        <v>31</v>
      </c>
    </row>
    <row r="8" spans="1:5" x14ac:dyDescent="0.25">
      <c r="A8" s="2" t="s">
        <v>6</v>
      </c>
      <c r="C8" s="4"/>
      <c r="E8" s="2">
        <v>2</v>
      </c>
    </row>
    <row r="9" spans="1:5" x14ac:dyDescent="0.25">
      <c r="A9" s="2" t="s">
        <v>7</v>
      </c>
      <c r="C9" s="4"/>
      <c r="E9" s="2">
        <v>8</v>
      </c>
    </row>
    <row r="10" spans="1:5" x14ac:dyDescent="0.25">
      <c r="A10" s="2" t="s">
        <v>8</v>
      </c>
      <c r="C10" s="4"/>
      <c r="E10" s="2">
        <v>24</v>
      </c>
    </row>
    <row r="11" spans="1:5" x14ac:dyDescent="0.25">
      <c r="A11" s="5"/>
      <c r="B11" s="6" t="s">
        <v>9</v>
      </c>
      <c r="C11" s="6" t="s">
        <v>10</v>
      </c>
      <c r="D11" s="70" t="s">
        <v>11</v>
      </c>
      <c r="E11" s="71"/>
    </row>
    <row r="12" spans="1:5" x14ac:dyDescent="0.25">
      <c r="A12" s="7" t="s">
        <v>12</v>
      </c>
      <c r="B12" s="8">
        <v>22440</v>
      </c>
      <c r="C12" s="9">
        <v>166.91</v>
      </c>
      <c r="D12" s="10" t="s">
        <v>13</v>
      </c>
      <c r="E12" s="11">
        <f>B12/C12</f>
        <v>134.44</v>
      </c>
    </row>
    <row r="13" spans="1:5" x14ac:dyDescent="0.25">
      <c r="A13" s="72" t="s">
        <v>14</v>
      </c>
      <c r="B13" s="72"/>
      <c r="C13" s="72"/>
      <c r="D13" s="72"/>
      <c r="E13" s="72"/>
    </row>
    <row r="14" spans="1:5" x14ac:dyDescent="0.25">
      <c r="A14" s="7" t="s">
        <v>15</v>
      </c>
      <c r="B14" s="11">
        <f>E12</f>
        <v>134.44</v>
      </c>
      <c r="C14" s="7">
        <v>1</v>
      </c>
      <c r="D14" s="12">
        <v>0.2</v>
      </c>
      <c r="E14" s="11">
        <f>B14*D14*(E9/E10)</f>
        <v>8.9600000000000009</v>
      </c>
    </row>
    <row r="15" spans="1:5" x14ac:dyDescent="0.25">
      <c r="A15" s="72" t="s">
        <v>16</v>
      </c>
      <c r="B15" s="72"/>
      <c r="C15" s="72"/>
      <c r="D15" s="72"/>
      <c r="E15" s="72"/>
    </row>
    <row r="16" spans="1:5" x14ac:dyDescent="0.25">
      <c r="A16" s="7" t="s">
        <v>17</v>
      </c>
      <c r="B16" s="11">
        <f>E12</f>
        <v>134.44</v>
      </c>
      <c r="C16" s="7">
        <v>1</v>
      </c>
      <c r="D16" s="12">
        <v>2</v>
      </c>
      <c r="E16" s="13">
        <f>B16/E10*(E8/E7)*E10</f>
        <v>8.67</v>
      </c>
    </row>
    <row r="17" spans="1:5" x14ac:dyDescent="0.25">
      <c r="A17" s="14" t="s">
        <v>18</v>
      </c>
      <c r="B17" s="73">
        <v>1.6</v>
      </c>
      <c r="C17" s="73"/>
      <c r="D17" s="73"/>
      <c r="E17" s="73"/>
    </row>
    <row r="18" spans="1:5" x14ac:dyDescent="0.25">
      <c r="A18" s="7" t="s">
        <v>19</v>
      </c>
      <c r="B18" s="67" t="s">
        <v>20</v>
      </c>
      <c r="C18" s="68"/>
      <c r="D18" s="68"/>
      <c r="E18" s="11">
        <f>B17*E12</f>
        <v>215.1</v>
      </c>
    </row>
    <row r="19" spans="1:5" x14ac:dyDescent="0.25">
      <c r="A19" s="7" t="s">
        <v>15</v>
      </c>
      <c r="B19" s="67" t="s">
        <v>21</v>
      </c>
      <c r="C19" s="68"/>
      <c r="D19" s="68"/>
      <c r="E19" s="15">
        <f>E14*B17</f>
        <v>14.34</v>
      </c>
    </row>
    <row r="20" spans="1:5" x14ac:dyDescent="0.25">
      <c r="A20" s="7" t="s">
        <v>17</v>
      </c>
      <c r="B20" s="67" t="s">
        <v>22</v>
      </c>
      <c r="C20" s="68"/>
      <c r="D20" s="68"/>
      <c r="E20" s="11">
        <f>E16*B17</f>
        <v>13.87</v>
      </c>
    </row>
    <row r="21" spans="1:5" x14ac:dyDescent="0.25">
      <c r="A21" s="2" t="s">
        <v>23</v>
      </c>
    </row>
    <row r="22" spans="1:5" x14ac:dyDescent="0.25">
      <c r="A22" s="6" t="s">
        <v>24</v>
      </c>
      <c r="B22" s="16" t="s">
        <v>25</v>
      </c>
      <c r="C22" s="16" t="s">
        <v>26</v>
      </c>
      <c r="D22" s="16" t="s">
        <v>27</v>
      </c>
      <c r="E22" s="16" t="s">
        <v>28</v>
      </c>
    </row>
    <row r="23" spans="1:5" x14ac:dyDescent="0.25">
      <c r="A23" s="11">
        <f>E12+E18</f>
        <v>349.54</v>
      </c>
      <c r="B23" s="11">
        <f>E14+E19</f>
        <v>23.3</v>
      </c>
      <c r="C23" s="17">
        <f>E16+E20</f>
        <v>22.54</v>
      </c>
      <c r="D23" s="18">
        <v>12</v>
      </c>
      <c r="E23" s="17">
        <f>(A23+B23+C23)/D23</f>
        <v>32.950000000000003</v>
      </c>
    </row>
    <row r="24" spans="1:5" x14ac:dyDescent="0.25">
      <c r="A24" s="2" t="s">
        <v>29</v>
      </c>
      <c r="B24" s="19"/>
      <c r="E24" s="19"/>
    </row>
    <row r="25" spans="1:5" x14ac:dyDescent="0.25">
      <c r="A25" s="20" t="s">
        <v>30</v>
      </c>
      <c r="B25" s="21"/>
      <c r="C25" s="22">
        <v>0.30199999999999999</v>
      </c>
      <c r="D25" s="21"/>
      <c r="E25" s="23">
        <f>(E18+E19+E20+E23+E12+E14+E16)*C25</f>
        <v>129.36000000000001</v>
      </c>
    </row>
    <row r="26" spans="1:5" x14ac:dyDescent="0.25">
      <c r="A26" s="2" t="s">
        <v>31</v>
      </c>
    </row>
    <row r="27" spans="1:5" ht="21" customHeight="1" x14ac:dyDescent="0.25">
      <c r="A27" s="7" t="s">
        <v>32</v>
      </c>
      <c r="B27" s="66" t="s">
        <v>33</v>
      </c>
      <c r="C27" s="66"/>
      <c r="D27" s="66"/>
      <c r="E27" s="24">
        <v>1</v>
      </c>
    </row>
    <row r="28" spans="1:5" x14ac:dyDescent="0.25">
      <c r="A28" s="7" t="s">
        <v>34</v>
      </c>
      <c r="B28" s="64" t="s">
        <v>35</v>
      </c>
      <c r="C28" s="64"/>
      <c r="D28" s="64"/>
      <c r="E28" s="7">
        <v>0.05</v>
      </c>
    </row>
    <row r="29" spans="1:5" x14ac:dyDescent="0.25">
      <c r="A29" s="7" t="s">
        <v>36</v>
      </c>
      <c r="B29" s="64" t="s">
        <v>37</v>
      </c>
      <c r="C29" s="64"/>
      <c r="D29" s="64"/>
      <c r="E29" s="7"/>
    </row>
    <row r="30" spans="1:5" s="25" customFormat="1" ht="18" customHeight="1" x14ac:dyDescent="0.25">
      <c r="A30" s="26" t="s">
        <v>38</v>
      </c>
      <c r="B30" s="65" t="s">
        <v>39</v>
      </c>
      <c r="C30" s="65"/>
      <c r="D30" s="65"/>
      <c r="E30" s="26"/>
    </row>
    <row r="31" spans="1:5" ht="59.25" customHeight="1" x14ac:dyDescent="0.25">
      <c r="A31" s="7" t="s">
        <v>40</v>
      </c>
      <c r="B31" s="66" t="s">
        <v>41</v>
      </c>
      <c r="C31" s="66"/>
      <c r="D31" s="66"/>
      <c r="E31" s="24">
        <v>0.1</v>
      </c>
    </row>
    <row r="32" spans="1:5" ht="30" customHeight="1" x14ac:dyDescent="0.25">
      <c r="A32" s="7" t="s">
        <v>42</v>
      </c>
      <c r="B32" s="66" t="s">
        <v>43</v>
      </c>
      <c r="C32" s="66"/>
      <c r="D32" s="66"/>
      <c r="E32" s="24"/>
    </row>
    <row r="33" spans="1:6" x14ac:dyDescent="0.25">
      <c r="A33" s="61" t="s">
        <v>44</v>
      </c>
      <c r="B33" s="62"/>
      <c r="C33" s="62"/>
      <c r="D33" s="62"/>
      <c r="E33" s="27">
        <f>SUM(E27:E32)</f>
        <v>1.1499999999999999</v>
      </c>
    </row>
    <row r="34" spans="1:6" s="28" customFormat="1" x14ac:dyDescent="0.25">
      <c r="A34" s="28" t="s">
        <v>45</v>
      </c>
      <c r="E34" s="29">
        <f>(E12+E14+E16+E18+E19+E20+E23+E25)*E33</f>
        <v>641.34</v>
      </c>
    </row>
    <row r="35" spans="1:6" s="28" customFormat="1" x14ac:dyDescent="0.25">
      <c r="A35" s="28" t="s">
        <v>46</v>
      </c>
      <c r="C35" s="30"/>
      <c r="D35" s="30">
        <v>0.2</v>
      </c>
      <c r="E35" s="29">
        <f>E34*D35</f>
        <v>128.27000000000001</v>
      </c>
    </row>
    <row r="36" spans="1:6" s="28" customFormat="1" x14ac:dyDescent="0.25">
      <c r="A36" s="28" t="s">
        <v>47</v>
      </c>
      <c r="C36" s="30"/>
      <c r="D36" s="30">
        <v>0.05</v>
      </c>
      <c r="E36" s="29">
        <f>(E34+E35)*D36</f>
        <v>38.479999999999997</v>
      </c>
    </row>
    <row r="37" spans="1:6" s="28" customFormat="1" x14ac:dyDescent="0.25">
      <c r="A37" s="28" t="s">
        <v>48</v>
      </c>
      <c r="C37" s="30"/>
      <c r="D37" s="30">
        <v>0.2</v>
      </c>
      <c r="E37" s="29">
        <f>(E34+E35+E36)*D37</f>
        <v>161.62</v>
      </c>
    </row>
    <row r="38" spans="1:6" s="2" customFormat="1" ht="14.25" x14ac:dyDescent="0.2">
      <c r="A38" s="2" t="s">
        <v>49</v>
      </c>
      <c r="E38" s="31">
        <f>SUM(E34:E37)</f>
        <v>969.71</v>
      </c>
    </row>
    <row r="39" spans="1:6" x14ac:dyDescent="0.25">
      <c r="F39" s="19"/>
    </row>
    <row r="40" spans="1:6" ht="15" customHeight="1" x14ac:dyDescent="0.25">
      <c r="A40" s="60" t="s">
        <v>50</v>
      </c>
      <c r="B40" s="60"/>
      <c r="C40" s="60"/>
      <c r="D40" s="60"/>
      <c r="E40" s="60"/>
    </row>
    <row r="41" spans="1:6" ht="30" customHeight="1" x14ac:dyDescent="0.25">
      <c r="A41" s="7" t="s">
        <v>51</v>
      </c>
      <c r="B41" s="6" t="s">
        <v>52</v>
      </c>
      <c r="C41" s="32" t="s">
        <v>53</v>
      </c>
      <c r="D41" s="32" t="s">
        <v>54</v>
      </c>
      <c r="E41" s="33" t="s">
        <v>55</v>
      </c>
    </row>
    <row r="42" spans="1:6" ht="30" customHeight="1" x14ac:dyDescent="0.25">
      <c r="A42" s="34" t="s">
        <v>56</v>
      </c>
      <c r="B42" s="24" t="s">
        <v>57</v>
      </c>
      <c r="C42" s="7">
        <v>31</v>
      </c>
      <c r="D42" s="7">
        <v>24</v>
      </c>
      <c r="E42" s="7">
        <f>C42*D42</f>
        <v>744</v>
      </c>
    </row>
    <row r="43" spans="1:6" x14ac:dyDescent="0.25">
      <c r="A43" s="61" t="s">
        <v>55</v>
      </c>
      <c r="B43" s="62"/>
      <c r="C43" s="62"/>
      <c r="D43" s="63"/>
      <c r="E43" s="7">
        <f>SUM(E42:E42)</f>
        <v>744</v>
      </c>
    </row>
    <row r="44" spans="1:6" x14ac:dyDescent="0.25">
      <c r="B44" s="19"/>
    </row>
    <row r="45" spans="1:6" x14ac:dyDescent="0.25">
      <c r="A45" s="2" t="s">
        <v>58</v>
      </c>
      <c r="B45" s="19"/>
      <c r="E45" s="31">
        <f>E38*E43</f>
        <v>721464.24</v>
      </c>
    </row>
    <row r="46" spans="1:6" x14ac:dyDescent="0.25">
      <c r="B46" s="19"/>
    </row>
    <row r="47" spans="1:6" x14ac:dyDescent="0.25">
      <c r="B47" s="19"/>
      <c r="E47" s="35"/>
    </row>
    <row r="48" spans="1:6" x14ac:dyDescent="0.25">
      <c r="B48" s="19"/>
    </row>
    <row r="49" spans="1:7" x14ac:dyDescent="0.25">
      <c r="B49" s="19"/>
      <c r="D49" s="36" t="s">
        <v>59</v>
      </c>
      <c r="E49" s="37">
        <v>571.99</v>
      </c>
    </row>
    <row r="50" spans="1:7" x14ac:dyDescent="0.25">
      <c r="B50" s="19"/>
      <c r="D50" s="36" t="s">
        <v>60</v>
      </c>
      <c r="E50" s="37">
        <f>E49*E42</f>
        <v>425560.56</v>
      </c>
    </row>
    <row r="51" spans="1:7" x14ac:dyDescent="0.25">
      <c r="E51" s="38">
        <f>(E58-E61)/E43</f>
        <v>3907.0906</v>
      </c>
    </row>
    <row r="52" spans="1:7" x14ac:dyDescent="0.25">
      <c r="B52" s="39"/>
      <c r="C52" s="40" t="s">
        <v>61</v>
      </c>
      <c r="D52" s="36" t="s">
        <v>59</v>
      </c>
      <c r="E52" s="41">
        <v>362.63</v>
      </c>
    </row>
    <row r="53" spans="1:7" x14ac:dyDescent="0.25">
      <c r="B53" s="40"/>
      <c r="C53" s="42"/>
      <c r="D53" s="36" t="s">
        <v>60</v>
      </c>
      <c r="E53" s="41">
        <f>E52*E43</f>
        <v>269796.71999999997</v>
      </c>
    </row>
    <row r="54" spans="1:7" x14ac:dyDescent="0.25">
      <c r="B54" s="40"/>
      <c r="C54" s="40"/>
      <c r="D54" s="43"/>
      <c r="E54" s="44"/>
    </row>
    <row r="55" spans="1:7" x14ac:dyDescent="0.25">
      <c r="A55" s="40" t="s">
        <v>62</v>
      </c>
      <c r="B55" s="40"/>
      <c r="C55" s="40"/>
      <c r="D55" s="43"/>
      <c r="E55" s="44"/>
    </row>
    <row r="56" spans="1:7" x14ac:dyDescent="0.25">
      <c r="A56" s="1" t="s">
        <v>63</v>
      </c>
      <c r="B56" s="40"/>
      <c r="C56" s="40"/>
      <c r="D56" s="43"/>
      <c r="E56" s="44"/>
    </row>
    <row r="57" spans="1:7" x14ac:dyDescent="0.25">
      <c r="B57" s="40"/>
      <c r="C57" s="40"/>
      <c r="D57" s="43"/>
      <c r="E57" s="44"/>
    </row>
    <row r="58" spans="1:7" x14ac:dyDescent="0.25">
      <c r="B58" s="40"/>
      <c r="C58" s="40"/>
      <c r="D58" s="40"/>
      <c r="E58" s="40">
        <v>3006378</v>
      </c>
    </row>
    <row r="59" spans="1:7" x14ac:dyDescent="0.25">
      <c r="B59" s="40"/>
      <c r="C59" s="40"/>
      <c r="D59" s="40"/>
      <c r="E59" s="39">
        <f>E58-E53</f>
        <v>2736581.28</v>
      </c>
    </row>
    <row r="60" spans="1:7" x14ac:dyDescent="0.25">
      <c r="B60" s="40"/>
      <c r="C60" s="40"/>
      <c r="D60" s="40"/>
      <c r="E60" s="40"/>
      <c r="F60" s="45">
        <v>133.74</v>
      </c>
    </row>
    <row r="61" spans="1:7" x14ac:dyDescent="0.25">
      <c r="B61" s="46" t="s">
        <v>64</v>
      </c>
      <c r="C61" s="47">
        <f>744</f>
        <v>744</v>
      </c>
      <c r="D61" s="47">
        <v>133.74</v>
      </c>
      <c r="E61" s="47">
        <f t="shared" ref="E61:E62" si="0">C61*D61</f>
        <v>99502.56</v>
      </c>
      <c r="F61" s="1">
        <f>E61/C61</f>
        <v>133.74</v>
      </c>
      <c r="G61" s="1">
        <f>F60*C61</f>
        <v>99502.56</v>
      </c>
    </row>
    <row r="62" spans="1:7" x14ac:dyDescent="0.25">
      <c r="B62" s="46" t="s">
        <v>65</v>
      </c>
      <c r="C62" s="47">
        <f>E43</f>
        <v>744</v>
      </c>
      <c r="D62" s="48">
        <v>362.63</v>
      </c>
      <c r="E62" s="47">
        <f t="shared" si="0"/>
        <v>269796.71999999997</v>
      </c>
    </row>
    <row r="63" spans="1:7" x14ac:dyDescent="0.25">
      <c r="B63" s="46" t="s">
        <v>66</v>
      </c>
      <c r="C63" s="47">
        <f>C62+C61</f>
        <v>1488</v>
      </c>
      <c r="D63" s="47"/>
      <c r="E63" s="47"/>
    </row>
    <row r="64" spans="1:7" x14ac:dyDescent="0.25">
      <c r="B64" s="46" t="s">
        <v>67</v>
      </c>
      <c r="C64" s="47"/>
      <c r="D64" s="47"/>
      <c r="E64" s="39">
        <v>3006378</v>
      </c>
    </row>
    <row r="65" spans="2:5" x14ac:dyDescent="0.25">
      <c r="B65" s="46" t="s">
        <v>68</v>
      </c>
      <c r="C65" s="47"/>
      <c r="D65" s="47"/>
      <c r="E65" s="47">
        <f>E64-E62-E61</f>
        <v>2637078.7200000002</v>
      </c>
    </row>
  </sheetData>
  <mergeCells count="17">
    <mergeCell ref="A1:E1"/>
    <mergeCell ref="D11:E11"/>
    <mergeCell ref="A13:E13"/>
    <mergeCell ref="A15:E15"/>
    <mergeCell ref="B17:E17"/>
    <mergeCell ref="B18:D18"/>
    <mergeCell ref="B19:D19"/>
    <mergeCell ref="B20:D20"/>
    <mergeCell ref="B27:D27"/>
    <mergeCell ref="B28:D28"/>
    <mergeCell ref="A40:E40"/>
    <mergeCell ref="A43:D43"/>
    <mergeCell ref="B29:D29"/>
    <mergeCell ref="B30:D30"/>
    <mergeCell ref="B31:D31"/>
    <mergeCell ref="B32:D32"/>
    <mergeCell ref="A33:D33"/>
  </mergeCells>
  <pageMargins left="0.70866141732283472" right="0" top="0.55118110236220474" bottom="0" header="0.31496062992125984" footer="0.31496062992125984"/>
  <pageSetup paperSize="9" scale="7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68"/>
  <sheetViews>
    <sheetView tabSelected="1" topLeftCell="A40" zoomScale="110" zoomScaleNormal="110" workbookViewId="0">
      <selection activeCell="F43" sqref="F43"/>
    </sheetView>
  </sheetViews>
  <sheetFormatPr defaultColWidth="9.125" defaultRowHeight="15" x14ac:dyDescent="0.25"/>
  <cols>
    <col min="1" max="1" width="24.5" style="1" customWidth="1"/>
    <col min="2" max="2" width="37.375" style="1" customWidth="1"/>
    <col min="3" max="3" width="12.875" style="1" customWidth="1"/>
    <col min="4" max="4" width="16.375" style="1" customWidth="1"/>
    <col min="5" max="5" width="15.5" style="1" customWidth="1"/>
    <col min="6" max="6" width="15.875" style="1" customWidth="1"/>
    <col min="7" max="11" width="0" style="1" hidden="1" customWidth="1"/>
    <col min="12" max="12" width="9.125" style="1"/>
    <col min="13" max="13" width="17.125" style="1" customWidth="1"/>
    <col min="14" max="14" width="13.875" style="1" customWidth="1"/>
    <col min="15" max="16384" width="9.125" style="1"/>
  </cols>
  <sheetData>
    <row r="1" spans="1:11" ht="81" customHeight="1" x14ac:dyDescent="0.25">
      <c r="A1" s="69" t="s">
        <v>81</v>
      </c>
      <c r="B1" s="69"/>
      <c r="C1" s="69"/>
      <c r="D1" s="69"/>
      <c r="E1" s="69"/>
    </row>
    <row r="2" spans="1:11" x14ac:dyDescent="0.25">
      <c r="A2" s="2" t="s">
        <v>1</v>
      </c>
    </row>
    <row r="4" spans="1:11" x14ac:dyDescent="0.25">
      <c r="A4" s="1" t="s">
        <v>2</v>
      </c>
    </row>
    <row r="6" spans="1:11" x14ac:dyDescent="0.25">
      <c r="A6" s="2" t="s">
        <v>3</v>
      </c>
      <c r="C6" s="3" t="s">
        <v>4</v>
      </c>
      <c r="G6" s="2" t="s">
        <v>3</v>
      </c>
      <c r="I6" s="3" t="s">
        <v>4</v>
      </c>
    </row>
    <row r="7" spans="1:11" x14ac:dyDescent="0.25">
      <c r="A7" s="2" t="s">
        <v>5</v>
      </c>
      <c r="C7" s="4"/>
      <c r="E7" s="2">
        <f>334+31</f>
        <v>365</v>
      </c>
      <c r="G7" s="2" t="s">
        <v>5</v>
      </c>
      <c r="I7" s="4"/>
      <c r="K7" s="2">
        <v>31</v>
      </c>
    </row>
    <row r="8" spans="1:11" x14ac:dyDescent="0.25">
      <c r="A8" s="2" t="s">
        <v>6</v>
      </c>
      <c r="C8" s="4"/>
      <c r="E8" s="2">
        <f>6+2</f>
        <v>8</v>
      </c>
      <c r="G8" s="2" t="s">
        <v>6</v>
      </c>
      <c r="I8" s="4"/>
      <c r="K8" s="2">
        <v>2</v>
      </c>
    </row>
    <row r="9" spans="1:11" x14ac:dyDescent="0.25">
      <c r="A9" s="2" t="s">
        <v>7</v>
      </c>
      <c r="C9" s="4"/>
      <c r="E9" s="2">
        <v>8</v>
      </c>
      <c r="G9" s="2" t="s">
        <v>7</v>
      </c>
      <c r="I9" s="4"/>
      <c r="K9" s="2">
        <v>8</v>
      </c>
    </row>
    <row r="10" spans="1:11" x14ac:dyDescent="0.25">
      <c r="A10" s="2" t="s">
        <v>8</v>
      </c>
      <c r="C10" s="4"/>
      <c r="E10" s="2">
        <v>24</v>
      </c>
      <c r="G10" s="2" t="s">
        <v>8</v>
      </c>
      <c r="I10" s="4"/>
      <c r="K10" s="2">
        <v>24</v>
      </c>
    </row>
    <row r="11" spans="1:11" x14ac:dyDescent="0.25">
      <c r="A11" s="5"/>
      <c r="B11" s="6" t="s">
        <v>9</v>
      </c>
      <c r="C11" s="6" t="s">
        <v>10</v>
      </c>
      <c r="D11" s="70" t="s">
        <v>11</v>
      </c>
      <c r="E11" s="71"/>
      <c r="G11" s="5"/>
      <c r="H11" s="6" t="s">
        <v>9</v>
      </c>
      <c r="I11" s="6" t="s">
        <v>10</v>
      </c>
      <c r="J11" s="70" t="s">
        <v>11</v>
      </c>
      <c r="K11" s="71"/>
    </row>
    <row r="12" spans="1:11" x14ac:dyDescent="0.25">
      <c r="A12" s="7" t="s">
        <v>12</v>
      </c>
      <c r="B12" s="8">
        <v>22440</v>
      </c>
      <c r="C12" s="49">
        <v>163.66999999999999</v>
      </c>
      <c r="D12" s="50" t="s">
        <v>69</v>
      </c>
      <c r="E12" s="11">
        <f>B12/C12</f>
        <v>137.11000000000001</v>
      </c>
      <c r="G12" s="7" t="s">
        <v>12</v>
      </c>
      <c r="H12" s="8">
        <v>22440</v>
      </c>
      <c r="I12" s="9">
        <v>128</v>
      </c>
      <c r="J12" s="10" t="s">
        <v>70</v>
      </c>
      <c r="K12" s="11">
        <f>H12/I12</f>
        <v>175.31</v>
      </c>
    </row>
    <row r="13" spans="1:11" x14ac:dyDescent="0.25">
      <c r="A13" s="72" t="s">
        <v>14</v>
      </c>
      <c r="B13" s="72"/>
      <c r="C13" s="72"/>
      <c r="D13" s="72"/>
      <c r="E13" s="72"/>
    </row>
    <row r="14" spans="1:11" x14ac:dyDescent="0.25">
      <c r="A14" s="7" t="s">
        <v>15</v>
      </c>
      <c r="B14" s="11">
        <f>E12</f>
        <v>137.11000000000001</v>
      </c>
      <c r="C14" s="7">
        <v>1</v>
      </c>
      <c r="D14" s="12">
        <v>0.2</v>
      </c>
      <c r="E14" s="11">
        <f>B14*D14*(E9/E10)</f>
        <v>9.14</v>
      </c>
    </row>
    <row r="15" spans="1:11" x14ac:dyDescent="0.25">
      <c r="A15" s="72" t="s">
        <v>16</v>
      </c>
      <c r="B15" s="72"/>
      <c r="C15" s="72"/>
      <c r="D15" s="72"/>
      <c r="E15" s="72"/>
    </row>
    <row r="16" spans="1:11" x14ac:dyDescent="0.25">
      <c r="A16" s="7" t="s">
        <v>17</v>
      </c>
      <c r="B16" s="11">
        <f>E12</f>
        <v>137.11000000000001</v>
      </c>
      <c r="C16" s="7">
        <v>1</v>
      </c>
      <c r="D16" s="12">
        <v>2</v>
      </c>
      <c r="E16" s="13">
        <f>B16/E10*(E8/E7)*E10</f>
        <v>3.01</v>
      </c>
    </row>
    <row r="17" spans="1:5" x14ac:dyDescent="0.25">
      <c r="A17" s="14" t="s">
        <v>18</v>
      </c>
      <c r="B17" s="73">
        <v>1.6</v>
      </c>
      <c r="C17" s="73"/>
      <c r="D17" s="73"/>
      <c r="E17" s="73"/>
    </row>
    <row r="18" spans="1:5" x14ac:dyDescent="0.25">
      <c r="A18" s="7" t="s">
        <v>19</v>
      </c>
      <c r="B18" s="67" t="s">
        <v>20</v>
      </c>
      <c r="C18" s="68"/>
      <c r="D18" s="68"/>
      <c r="E18" s="11">
        <f>B17*E12</f>
        <v>219.38</v>
      </c>
    </row>
    <row r="19" spans="1:5" x14ac:dyDescent="0.25">
      <c r="A19" s="7" t="s">
        <v>15</v>
      </c>
      <c r="B19" s="67" t="s">
        <v>21</v>
      </c>
      <c r="C19" s="68"/>
      <c r="D19" s="68"/>
      <c r="E19" s="15">
        <f>E14*B17</f>
        <v>14.62</v>
      </c>
    </row>
    <row r="20" spans="1:5" x14ac:dyDescent="0.25">
      <c r="A20" s="7" t="s">
        <v>17</v>
      </c>
      <c r="B20" s="67" t="s">
        <v>22</v>
      </c>
      <c r="C20" s="68"/>
      <c r="D20" s="68"/>
      <c r="E20" s="11">
        <f>E16*B17</f>
        <v>4.82</v>
      </c>
    </row>
    <row r="21" spans="1:5" x14ac:dyDescent="0.25">
      <c r="A21" s="2" t="s">
        <v>23</v>
      </c>
    </row>
    <row r="22" spans="1:5" x14ac:dyDescent="0.25">
      <c r="A22" s="6" t="s">
        <v>24</v>
      </c>
      <c r="B22" s="16" t="s">
        <v>25</v>
      </c>
      <c r="C22" s="16" t="s">
        <v>26</v>
      </c>
      <c r="D22" s="16" t="s">
        <v>27</v>
      </c>
      <c r="E22" s="16" t="s">
        <v>28</v>
      </c>
    </row>
    <row r="23" spans="1:5" x14ac:dyDescent="0.25">
      <c r="A23" s="11">
        <f>E12+E18</f>
        <v>356.49</v>
      </c>
      <c r="B23" s="11">
        <f>E14+E19</f>
        <v>23.76</v>
      </c>
      <c r="C23" s="17">
        <f>E16+E20</f>
        <v>7.83</v>
      </c>
      <c r="D23" s="18">
        <v>12</v>
      </c>
      <c r="E23" s="17">
        <f>(A23+B23+C23)/D23</f>
        <v>32.340000000000003</v>
      </c>
    </row>
    <row r="24" spans="1:5" x14ac:dyDescent="0.25">
      <c r="A24" s="2" t="s">
        <v>29</v>
      </c>
      <c r="B24" s="19"/>
      <c r="E24" s="19"/>
    </row>
    <row r="25" spans="1:5" x14ac:dyDescent="0.25">
      <c r="A25" s="20" t="s">
        <v>30</v>
      </c>
      <c r="B25" s="21"/>
      <c r="C25" s="22">
        <v>0.30199999999999999</v>
      </c>
      <c r="D25" s="21"/>
      <c r="E25" s="23">
        <f>(E18+E19+E20+E23+E12+E14+E16)*C25</f>
        <v>126.97</v>
      </c>
    </row>
    <row r="26" spans="1:5" x14ac:dyDescent="0.25">
      <c r="A26" s="2" t="s">
        <v>31</v>
      </c>
    </row>
    <row r="27" spans="1:5" ht="21" customHeight="1" x14ac:dyDescent="0.25">
      <c r="A27" s="7" t="s">
        <v>32</v>
      </c>
      <c r="B27" s="66" t="s">
        <v>33</v>
      </c>
      <c r="C27" s="66"/>
      <c r="D27" s="66"/>
      <c r="E27" s="24">
        <v>1</v>
      </c>
    </row>
    <row r="28" spans="1:5" x14ac:dyDescent="0.25">
      <c r="A28" s="7" t="s">
        <v>34</v>
      </c>
      <c r="B28" s="64" t="s">
        <v>35</v>
      </c>
      <c r="C28" s="64"/>
      <c r="D28" s="64"/>
      <c r="E28" s="7">
        <v>0.05</v>
      </c>
    </row>
    <row r="29" spans="1:5" x14ac:dyDescent="0.25">
      <c r="A29" s="7" t="s">
        <v>36</v>
      </c>
      <c r="B29" s="64" t="s">
        <v>37</v>
      </c>
      <c r="C29" s="64"/>
      <c r="D29" s="64"/>
      <c r="E29" s="7"/>
    </row>
    <row r="30" spans="1:5" s="25" customFormat="1" ht="18" customHeight="1" x14ac:dyDescent="0.25">
      <c r="A30" s="26" t="s">
        <v>38</v>
      </c>
      <c r="B30" s="65" t="s">
        <v>39</v>
      </c>
      <c r="C30" s="65"/>
      <c r="D30" s="65"/>
      <c r="E30" s="26"/>
    </row>
    <row r="31" spans="1:5" ht="59.25" customHeight="1" x14ac:dyDescent="0.25">
      <c r="A31" s="7" t="s">
        <v>40</v>
      </c>
      <c r="B31" s="66" t="s">
        <v>41</v>
      </c>
      <c r="C31" s="66"/>
      <c r="D31" s="66"/>
      <c r="E31" s="24">
        <v>0.1</v>
      </c>
    </row>
    <row r="32" spans="1:5" ht="30" customHeight="1" x14ac:dyDescent="0.25">
      <c r="A32" s="7" t="s">
        <v>42</v>
      </c>
      <c r="B32" s="66" t="s">
        <v>43</v>
      </c>
      <c r="C32" s="66"/>
      <c r="D32" s="66"/>
      <c r="E32" s="24"/>
    </row>
    <row r="33" spans="1:6" x14ac:dyDescent="0.25">
      <c r="A33" s="61" t="s">
        <v>44</v>
      </c>
      <c r="B33" s="62"/>
      <c r="C33" s="62"/>
      <c r="D33" s="62"/>
      <c r="E33" s="27">
        <f>SUM(E27:E32)</f>
        <v>1.1499999999999999</v>
      </c>
    </row>
    <row r="34" spans="1:6" s="28" customFormat="1" x14ac:dyDescent="0.25">
      <c r="A34" s="28" t="s">
        <v>45</v>
      </c>
      <c r="E34" s="29">
        <f>(E12+E14+E16+E18+E19+E20+E23+E25)*E33</f>
        <v>629.5</v>
      </c>
    </row>
    <row r="35" spans="1:6" s="28" customFormat="1" x14ac:dyDescent="0.25">
      <c r="A35" s="28" t="s">
        <v>46</v>
      </c>
      <c r="C35" s="30"/>
      <c r="D35" s="30">
        <v>0.2</v>
      </c>
      <c r="E35" s="29">
        <f>E34*D35</f>
        <v>125.9</v>
      </c>
    </row>
    <row r="36" spans="1:6" s="28" customFormat="1" x14ac:dyDescent="0.25">
      <c r="A36" s="28" t="s">
        <v>47</v>
      </c>
      <c r="C36" s="30"/>
      <c r="D36" s="30">
        <v>0.05</v>
      </c>
      <c r="E36" s="29">
        <f>(E34+E35)*D36</f>
        <v>37.770000000000003</v>
      </c>
    </row>
    <row r="37" spans="1:6" s="28" customFormat="1" x14ac:dyDescent="0.25">
      <c r="A37" s="28" t="s">
        <v>48</v>
      </c>
      <c r="C37" s="30"/>
      <c r="D37" s="30">
        <v>0.2</v>
      </c>
      <c r="E37" s="29">
        <f>(E34+E35+E36)*D37</f>
        <v>158.63</v>
      </c>
    </row>
    <row r="38" spans="1:6" s="2" customFormat="1" ht="14.25" x14ac:dyDescent="0.2">
      <c r="A38" s="2" t="s">
        <v>49</v>
      </c>
      <c r="E38" s="31">
        <f>SUM(E34:E37)</f>
        <v>951.8</v>
      </c>
    </row>
    <row r="39" spans="1:6" x14ac:dyDescent="0.25">
      <c r="F39" s="19"/>
    </row>
    <row r="40" spans="1:6" ht="15" customHeight="1" x14ac:dyDescent="0.25">
      <c r="A40" s="60" t="s">
        <v>50</v>
      </c>
      <c r="B40" s="60"/>
      <c r="C40" s="60"/>
      <c r="D40" s="60"/>
      <c r="E40" s="60"/>
    </row>
    <row r="41" spans="1:6" ht="30" customHeight="1" x14ac:dyDescent="0.25">
      <c r="A41" s="7" t="s">
        <v>51</v>
      </c>
      <c r="B41" s="6" t="s">
        <v>52</v>
      </c>
      <c r="C41" s="32" t="s">
        <v>53</v>
      </c>
      <c r="D41" s="32" t="s">
        <v>54</v>
      </c>
      <c r="E41" s="32" t="s">
        <v>80</v>
      </c>
    </row>
    <row r="42" spans="1:6" ht="45" customHeight="1" x14ac:dyDescent="0.25">
      <c r="A42" s="51" t="s">
        <v>78</v>
      </c>
      <c r="B42" s="52" t="s">
        <v>79</v>
      </c>
      <c r="C42" s="7">
        <f>E7</f>
        <v>365</v>
      </c>
      <c r="D42" s="7">
        <v>24</v>
      </c>
      <c r="E42" s="7">
        <f>C42*D42*2</f>
        <v>17520</v>
      </c>
    </row>
    <row r="43" spans="1:6" x14ac:dyDescent="0.25">
      <c r="A43" s="61" t="s">
        <v>55</v>
      </c>
      <c r="B43" s="62"/>
      <c r="C43" s="62"/>
      <c r="D43" s="63"/>
      <c r="E43" s="7">
        <f>SUM(E42:E42)</f>
        <v>17520</v>
      </c>
    </row>
    <row r="44" spans="1:6" x14ac:dyDescent="0.25">
      <c r="B44" s="19"/>
    </row>
    <row r="45" spans="1:6" x14ac:dyDescent="0.25">
      <c r="A45" s="2" t="s">
        <v>71</v>
      </c>
      <c r="B45" s="19"/>
      <c r="E45" s="31">
        <f>E38*E43</f>
        <v>16675536</v>
      </c>
    </row>
    <row r="46" spans="1:6" x14ac:dyDescent="0.25">
      <c r="B46" s="19"/>
    </row>
    <row r="47" spans="1:6" x14ac:dyDescent="0.25">
      <c r="B47" s="19"/>
      <c r="E47" s="35"/>
    </row>
    <row r="48" spans="1:6" x14ac:dyDescent="0.25">
      <c r="B48" s="19"/>
    </row>
    <row r="49" spans="1:14" x14ac:dyDescent="0.25">
      <c r="B49" s="19"/>
      <c r="D49" s="36" t="s">
        <v>59</v>
      </c>
      <c r="E49" s="37">
        <v>951.8</v>
      </c>
    </row>
    <row r="50" spans="1:14" x14ac:dyDescent="0.25">
      <c r="B50" s="19"/>
      <c r="D50" s="36" t="s">
        <v>60</v>
      </c>
      <c r="E50" s="37">
        <f>E49*E42</f>
        <v>16675536</v>
      </c>
    </row>
    <row r="51" spans="1:14" x14ac:dyDescent="0.25">
      <c r="E51" s="38"/>
      <c r="M51" s="53">
        <v>7804040.5300000003</v>
      </c>
      <c r="N51" s="1" t="s">
        <v>72</v>
      </c>
    </row>
    <row r="52" spans="1:14" x14ac:dyDescent="0.25">
      <c r="B52" s="39"/>
      <c r="C52" s="40" t="s">
        <v>73</v>
      </c>
      <c r="D52" s="54" t="s">
        <v>59</v>
      </c>
      <c r="E52" s="55">
        <v>411.46</v>
      </c>
      <c r="M52" s="53">
        <v>595200</v>
      </c>
      <c r="N52" s="56" t="s">
        <v>74</v>
      </c>
    </row>
    <row r="53" spans="1:14" x14ac:dyDescent="0.25">
      <c r="B53" s="40"/>
      <c r="C53" s="42" t="s">
        <v>77</v>
      </c>
      <c r="D53" s="54" t="s">
        <v>60</v>
      </c>
      <c r="E53" s="55">
        <f>E42*E52</f>
        <v>7208779.2000000002</v>
      </c>
      <c r="M53" s="57">
        <f>M51-M52</f>
        <v>7208840.5300000003</v>
      </c>
      <c r="N53" s="58" t="s">
        <v>76</v>
      </c>
    </row>
    <row r="54" spans="1:14" x14ac:dyDescent="0.25">
      <c r="B54" s="40"/>
      <c r="C54" s="40"/>
      <c r="D54" s="43"/>
      <c r="E54" s="44"/>
    </row>
    <row r="55" spans="1:14" x14ac:dyDescent="0.25">
      <c r="A55" s="40" t="s">
        <v>62</v>
      </c>
      <c r="B55" s="40"/>
      <c r="C55" s="40"/>
      <c r="D55" s="43"/>
      <c r="E55" s="44"/>
      <c r="M55" s="19">
        <v>7208840.5300000003</v>
      </c>
    </row>
    <row r="56" spans="1:14" x14ac:dyDescent="0.25">
      <c r="A56" s="56" t="s">
        <v>75</v>
      </c>
      <c r="B56" s="40"/>
      <c r="C56" s="40"/>
      <c r="D56" s="43"/>
      <c r="E56" s="44"/>
    </row>
    <row r="57" spans="1:14" x14ac:dyDescent="0.25">
      <c r="B57" s="40"/>
      <c r="C57" s="40"/>
      <c r="D57" s="43"/>
      <c r="E57" s="44"/>
      <c r="M57" s="1">
        <v>411.46</v>
      </c>
    </row>
    <row r="58" spans="1:14" hidden="1" x14ac:dyDescent="0.25">
      <c r="B58" s="40"/>
      <c r="C58" s="40"/>
      <c r="D58" s="40"/>
      <c r="E58" s="40">
        <v>3006378</v>
      </c>
    </row>
    <row r="59" spans="1:14" hidden="1" x14ac:dyDescent="0.25">
      <c r="B59" s="40"/>
      <c r="C59" s="40"/>
      <c r="D59" s="40"/>
      <c r="E59" s="39">
        <f>E58-E53</f>
        <v>-4202401.2</v>
      </c>
    </row>
    <row r="60" spans="1:14" hidden="1" x14ac:dyDescent="0.25">
      <c r="B60" s="40"/>
      <c r="C60" s="40"/>
      <c r="D60" s="40"/>
      <c r="E60" s="40"/>
      <c r="F60" s="45">
        <v>133.74</v>
      </c>
    </row>
    <row r="61" spans="1:14" hidden="1" x14ac:dyDescent="0.25">
      <c r="B61" s="46" t="s">
        <v>64</v>
      </c>
      <c r="C61" s="47">
        <f>744</f>
        <v>744</v>
      </c>
      <c r="D61" s="47">
        <v>133.74</v>
      </c>
      <c r="E61" s="47">
        <f t="shared" ref="E61:E62" si="0">C61*D61</f>
        <v>99502.56</v>
      </c>
      <c r="F61" s="1">
        <f>E61/C61</f>
        <v>133.74</v>
      </c>
      <c r="G61" s="1">
        <f>F60*C61</f>
        <v>99502.56</v>
      </c>
    </row>
    <row r="62" spans="1:14" hidden="1" x14ac:dyDescent="0.25">
      <c r="B62" s="46" t="s">
        <v>65</v>
      </c>
      <c r="C62" s="47">
        <f>E43</f>
        <v>17520</v>
      </c>
      <c r="D62" s="48">
        <v>362.63</v>
      </c>
      <c r="E62" s="47">
        <f t="shared" si="0"/>
        <v>6353277.5999999996</v>
      </c>
    </row>
    <row r="63" spans="1:14" hidden="1" x14ac:dyDescent="0.25">
      <c r="B63" s="46" t="s">
        <v>66</v>
      </c>
      <c r="C63" s="47">
        <f>C62+C61</f>
        <v>18264</v>
      </c>
      <c r="D63" s="47"/>
      <c r="E63" s="47"/>
    </row>
    <row r="64" spans="1:14" hidden="1" x14ac:dyDescent="0.25">
      <c r="B64" s="46" t="s">
        <v>67</v>
      </c>
      <c r="C64" s="47"/>
      <c r="D64" s="47"/>
      <c r="E64" s="39">
        <v>3006378</v>
      </c>
    </row>
    <row r="65" spans="2:13" hidden="1" x14ac:dyDescent="0.25">
      <c r="B65" s="46" t="s">
        <v>68</v>
      </c>
      <c r="C65" s="47"/>
      <c r="D65" s="47"/>
      <c r="E65" s="47">
        <f>E64-E62-E61</f>
        <v>-3446402.16</v>
      </c>
    </row>
    <row r="66" spans="2:13" x14ac:dyDescent="0.25">
      <c r="M66" s="19">
        <f>M57*E42</f>
        <v>7208779.2000000002</v>
      </c>
    </row>
    <row r="68" spans="2:13" x14ac:dyDescent="0.25">
      <c r="M68" s="59"/>
    </row>
  </sheetData>
  <mergeCells count="18">
    <mergeCell ref="A1:E1"/>
    <mergeCell ref="D11:E11"/>
    <mergeCell ref="J11:K11"/>
    <mergeCell ref="A13:E13"/>
    <mergeCell ref="A15:E15"/>
    <mergeCell ref="B17:E17"/>
    <mergeCell ref="B18:D18"/>
    <mergeCell ref="B19:D19"/>
    <mergeCell ref="B20:D20"/>
    <mergeCell ref="B27:D27"/>
    <mergeCell ref="A33:D33"/>
    <mergeCell ref="A40:E40"/>
    <mergeCell ref="A43:D43"/>
    <mergeCell ref="B28:D28"/>
    <mergeCell ref="B29:D29"/>
    <mergeCell ref="B30:D30"/>
    <mergeCell ref="B31:D31"/>
    <mergeCell ref="B32:D32"/>
  </mergeCells>
  <pageMargins left="0.70866141732283472" right="0" top="0.55118110236220474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 </vt:lpstr>
      <vt:lpstr>февраль-январь 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Васильевна Горохова</dc:creator>
  <cp:lastModifiedBy>Александр Витязев</cp:lastModifiedBy>
  <cp:revision>1</cp:revision>
  <cp:lastPrinted>2024-12-11T07:07:21Z</cp:lastPrinted>
  <dcterms:created xsi:type="dcterms:W3CDTF">2021-05-21T08:15:36Z</dcterms:created>
  <dcterms:modified xsi:type="dcterms:W3CDTF">2024-12-24T12:08:53Z</dcterms:modified>
</cp:coreProperties>
</file>