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51492" yWindow="0" windowWidth="23256" windowHeight="13176" activeTab="4"/>
  </bookViews>
  <sheets>
    <sheet name="см.1.1 Обмер и обслед" sheetId="14" r:id="rId1"/>
    <sheet name="лрс 1.2" sheetId="10" r:id="rId2"/>
    <sheet name="ЛСР ТО от 31.08.2024" sheetId="12" state="hidden" r:id="rId3"/>
    <sheet name="АСУТП 1.3" sheetId="13" r:id="rId4"/>
    <sheet name="ССР " sheetId="11" r:id="rId5"/>
  </sheets>
  <definedNames>
    <definedName name="_xlnm.Print_Area" localSheetId="0">'см.1.1 Обмер и обслед'!$A$1:$F$63</definedName>
    <definedName name="_xlnm.Print_Area" localSheetId="4">'ССР '!$A$1:$H$30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4"/>
  <c r="F49"/>
  <c r="F45"/>
  <c r="F41"/>
  <c r="F57" s="1"/>
  <c r="D32"/>
  <c r="F28" s="1"/>
  <c r="F39" s="1"/>
  <c r="D18"/>
  <c r="F14"/>
  <c r="F26" s="1"/>
  <c r="F58" s="1"/>
  <c r="F59" s="1"/>
  <c r="F60" s="1"/>
  <c r="F61" s="1"/>
  <c r="F16" i="13" l="1"/>
  <c r="A19" s="1"/>
  <c r="A22" s="1"/>
  <c r="E13"/>
  <c r="F13" s="1"/>
  <c r="B19" l="1"/>
  <c r="A25"/>
  <c r="F16" i="10"/>
  <c r="C19" i="13" l="1"/>
  <c r="C22" s="1"/>
  <c r="B22"/>
  <c r="B25" s="1"/>
  <c r="D19"/>
  <c r="D22" s="1"/>
  <c r="C25"/>
  <c r="F43" i="12"/>
  <c r="F38"/>
  <c r="F39" s="1"/>
  <c r="F42" s="1"/>
  <c r="F44" s="1"/>
  <c r="F45" s="1"/>
  <c r="H20" i="11" s="1"/>
  <c r="F29" i="10"/>
  <c r="F30" s="1"/>
  <c r="E19" i="13" l="1"/>
  <c r="E22" s="1"/>
  <c r="D25"/>
  <c r="F32" i="10"/>
  <c r="F33" s="1"/>
  <c r="E25" i="13" l="1"/>
  <c r="F19"/>
  <c r="F34" i="10"/>
  <c r="F35" s="1"/>
  <c r="G21" i="11" s="1"/>
  <c r="F40" i="12"/>
  <c r="F22" i="13" l="1"/>
  <c r="F25" s="1"/>
  <c r="G25" s="1"/>
  <c r="G26" s="1"/>
  <c r="G27" s="1"/>
  <c r="G22" i="11" s="1"/>
  <c r="H21"/>
  <c r="H22" l="1"/>
  <c r="G23"/>
  <c r="H23"/>
  <c r="H24" s="1"/>
  <c r="H25" s="1"/>
  <c r="G24" l="1"/>
  <c r="G25" s="1"/>
</calcChain>
</file>

<file path=xl/comments1.xml><?xml version="1.0" encoding="utf-8"?>
<comments xmlns="http://schemas.openxmlformats.org/spreadsheetml/2006/main">
  <authors>
    <author>Четов Антон Павлович</author>
  </authors>
  <commentLis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Четов Антон Павлович:</t>
        </r>
        <r>
          <rPr>
            <sz val="9"/>
            <color indexed="81"/>
            <rFont val="Tahoma"/>
            <family val="2"/>
            <charset val="204"/>
          </rPr>
          <t xml:space="preserve">
при оценке фактора Ф9 количество переменных, поступающих в АСУТП из смежных автоматизированных систем по каналам межмашинной связи, принимается с коэффициентом 0,3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Четов Антон Павлович:</t>
        </r>
        <r>
          <rPr>
            <sz val="9"/>
            <color indexed="81"/>
            <rFont val="Tahoma"/>
            <family val="2"/>
            <charset val="204"/>
          </rPr>
          <t xml:space="preserve">
0,6 - К1; 0,4 - К11, 0,4 - К12 </t>
        </r>
      </text>
    </comment>
  </commentList>
</comments>
</file>

<file path=xl/sharedStrings.xml><?xml version="1.0" encoding="utf-8"?>
<sst xmlns="http://schemas.openxmlformats.org/spreadsheetml/2006/main" count="227" uniqueCount="172">
  <si>
    <t>№ пп</t>
  </si>
  <si>
    <t>Характеристика предприятия,
здания, сооружения или вид работ</t>
  </si>
  <si>
    <t>Наименование предприятия, здания, сооружения, стадии проектирования, этапа, вида проектных</t>
  </si>
  <si>
    <t>Номер частей, глав, таблиц, параграфов и пунктов указаний к разделу справочника базовых цен на проектные и изыскательские работы для строителей</t>
  </si>
  <si>
    <t xml:space="preserve">Раздел 1. </t>
  </si>
  <si>
    <t>на выполнение работ по разработке проектной-сметной документации по объекту:</t>
  </si>
  <si>
    <t>СОГЛАСОВАНО:</t>
  </si>
  <si>
    <t>________________________________</t>
  </si>
  <si>
    <t>УТВЕРЖДАЮ:</t>
  </si>
  <si>
    <t>"___"____________________2024 года</t>
  </si>
  <si>
    <t xml:space="preserve">Канализационная насосная станция перекачки бытовых сточных вод или неагрессивных и невзрывоопасных производственных сточных вод производительностью:свыше 0,25 до 0,5 тыс.м3/ч. 0,36 (1 тыс.м3/ч) </t>
  </si>
  <si>
    <t>Стоимость работ, 
руб.</t>
  </si>
  <si>
    <t>Расчет стоимости: Цпр=(а+в*х)*Кu*Коб*Kусл или (стоимость строительно-монтажных работ)*проц./ 100 или количество * цена, руб.</t>
  </si>
  <si>
    <t>СБЦП "Объекты водоснабжения и канализации" табл. 9 п.2 (СБЦП 81-2001-17)                                                Сейсмичность 8 баллов К=1,2</t>
  </si>
  <si>
    <t xml:space="preserve">Итого по разделу 1 </t>
  </si>
  <si>
    <t>Итоги по смете:</t>
  </si>
  <si>
    <t xml:space="preserve"> ВСЕГО по смете</t>
  </si>
  <si>
    <t xml:space="preserve">ЛОКАЛЬНЫЙ СМЕТНЫЙ РАСЧЁТ СМЕТА № 1.2   </t>
  </si>
  <si>
    <t xml:space="preserve">ЛОКАЛЬНЫЙ СМЕТНЫЙ РАСЧЁТ СМЕТА № 1.1  </t>
  </si>
  <si>
    <t xml:space="preserve">Оценка технического состояния строительных конструкций многоэтажных зданий (сооружений), 2 категория сложности здания, 2 категория сложности работ, высота здания: 12 м, 3,98(100 м3 строительного объема) </t>
  </si>
  <si>
    <t xml:space="preserve">СБЦ "Обследование, оценка тех.состояния, испытание и усиление строительных конструкций зданий, грузоподъемных кранов (2000)" табл.15 п.2-2-07
(СБЦ7-15-2-2-07) </t>
  </si>
  <si>
    <t>(27,1*3,98)*1,3*1,5*4,3*1,3
(A*X)*К1*К2*К4*К5</t>
  </si>
  <si>
    <t>1 176,00</t>
  </si>
  <si>
    <t>При обследовании конструкций зданий или сооружений без прекращения производственного процесса;</t>
  </si>
  <si>
    <t xml:space="preserve"> </t>
  </si>
  <si>
    <t>При инструментально-приборном обследовании и диагностике конструкций;</t>
  </si>
  <si>
    <t>При обследовании и оценке тех.состояния зданий и сооружений с малыми строительными объемами: здания до 1000м3;</t>
  </si>
  <si>
    <t>Выполнение работ в цехах со средней степенью агрессивного воздействия окружающей среды</t>
  </si>
  <si>
    <t xml:space="preserve">Освидетельствование строительных конструкций многоэтажных зданий (сооружений), 2 категория сложности здания, 2 категория сложности работ, высота здания: 12 м, 3,98(100 м3 строительного объема) </t>
  </si>
  <si>
    <t>К1=1,3;</t>
  </si>
  <si>
    <t>К2=1,5;</t>
  </si>
  <si>
    <t>К4=4,3;</t>
  </si>
  <si>
    <t xml:space="preserve">К5=1,3 </t>
  </si>
  <si>
    <t>К5=1,3</t>
  </si>
  <si>
    <t>(17,6*3,98)*1,3*1,5*4,3*1,3</t>
  </si>
  <si>
    <t>(A*X)*К1*К2*К4*К5</t>
  </si>
  <si>
    <t>Итого Поз. 1,2</t>
  </si>
  <si>
    <t xml:space="preserve">СБЦ "Обследование, оценка тех.состояния, испытание и усиление строительных конструкций зданий, грузоподъемных кранов (2000)" табл.10 п.2-2-07
(СБЦ7-10-2-2-07) </t>
  </si>
  <si>
    <t>Реконструкция КНС № 14</t>
  </si>
  <si>
    <t>№ п/п</t>
  </si>
  <si>
    <t>Обоснование</t>
  </si>
  <si>
    <t>Наименование глав, объектов капитального строительства, работ и затрат</t>
  </si>
  <si>
    <t xml:space="preserve">Сметная стоимость, руб. </t>
  </si>
  <si>
    <t>Строительных
(ремонтно- строительных, ремонтно- реставра ционных) работ</t>
  </si>
  <si>
    <t>монтажных работ</t>
  </si>
  <si>
    <t>оборудования</t>
  </si>
  <si>
    <t>прочих затрат</t>
  </si>
  <si>
    <t>всего</t>
  </si>
  <si>
    <t>Глава 12. Публичный технологический и ценовой аудит, проектные и изыскательские работы</t>
  </si>
  <si>
    <t>[должность, подпись (инициалы, фамилия)]</t>
  </si>
  <si>
    <t>Публичный технологический и ценовой аудит, проектные и изыскательские работы</t>
  </si>
  <si>
    <t>1.1</t>
  </si>
  <si>
    <t>1.2</t>
  </si>
  <si>
    <t>Обследование технического состояния КНС</t>
  </si>
  <si>
    <t>Проектные работы</t>
  </si>
  <si>
    <t>СВОДНЫЙ СМЕТНЫЙ РАСЧЕТ СТОИМОСТИ СТРОИТЕЛЬСТВА</t>
  </si>
  <si>
    <t>Итого по Главе  "Публичный технологический и ценовой аудит, проектные и изыскательские работы"</t>
  </si>
  <si>
    <t>Составила гл.инженер Брулева К.А.</t>
  </si>
  <si>
    <t>Брулева К.А.</t>
  </si>
  <si>
    <t xml:space="preserve">      </t>
  </si>
  <si>
    <t>Итого Поз. 1</t>
  </si>
  <si>
    <t>Всего c учетом "3 кв 2024 (ПР), Письмо Минстроя России от 29.07.2024 N 43022-ИФ/09 к уровню цен по состоянию на 01.01.2001 года 6,10"</t>
  </si>
  <si>
    <t>Стоимость проектных работ с учетом выплат, установленных для РКС и приравненных к ним местностям. Методика, 707/пр, глава IX, п.168( п.2 * (0.3161 + 0.6839 * 1.4))</t>
  </si>
  <si>
    <t>Всего c учетом "к уровню цен по состоянию на 01.01.1995 года 46,66"</t>
  </si>
  <si>
    <t xml:space="preserve">«Модернизация КНС №1 с. Углезаводск»,                                                                                                                           обследование технического состояния КНС           </t>
  </si>
  <si>
    <t>Итого по расчету 114 688,92 тыс. руб.</t>
  </si>
  <si>
    <t>(155490+210090*0,36)*1,2</t>
  </si>
  <si>
    <t>Итого по расчету  1292,78  тыс. руб.</t>
  </si>
  <si>
    <t>"СБЦП 81-2001-22. СБЦП 81-02-22-2001. Государственный сметный норматив. Справочник базовых цен на проектные работы в строительстве. Автоматизированные системы управления технологическими процессами (АСУТП)" (внесен Приказом Минстроя России от 27.01.2016 N 30/пр)</t>
  </si>
  <si>
    <t>Степень научно-технической новизны (ТОУ) (Ф1):</t>
  </si>
  <si>
    <t>Итого</t>
  </si>
  <si>
    <t>С учетом коэффициентов базовая цена разработки ТЗ, тыс. руб.</t>
  </si>
  <si>
    <t>Таблица 1. Трудоемкость разработки ТЗ на создание АСУТП (в баллах).  Расчет базовой цены разработки ТЗ</t>
  </si>
  <si>
    <t>Таблица 2. Трудоемкость разработки документации на АСУТП (в баллах). Расчет базовой цены разработки документации на АСУТП</t>
  </si>
  <si>
    <t>Характер протекания управляемого технологического процесса во времени (Ф2):</t>
  </si>
  <si>
    <t>Количество технологических операций, выполняемых на ТОУ (Ф3):</t>
  </si>
  <si>
    <t>Количество переменных, характеризующих ТОУ (Ф4):</t>
  </si>
  <si>
    <t xml:space="preserve">Количество технологических операций, контролируемых или управляемых АСУТП (Ф5):
</t>
  </si>
  <si>
    <t xml:space="preserve">Степень развитости информационных функций АСУТП (Ф6):
</t>
  </si>
  <si>
    <t xml:space="preserve">Степень развитости управляющих функций АСУТП (Ф7):
</t>
  </si>
  <si>
    <t>Режим выполнения управляющих функций АСУТП (Ф8):</t>
  </si>
  <si>
    <t>Количество переменных, измеряемых, контролируемых и регистрируемых АСУТП (Ф9):</t>
  </si>
  <si>
    <t>Количество управляющих воздействий, вырабатываемых АСУТП (Ф10):</t>
  </si>
  <si>
    <t>Количество баллов для частей документации (Бч)</t>
  </si>
  <si>
    <t>ОР</t>
  </si>
  <si>
    <t>ОО</t>
  </si>
  <si>
    <t>ИО</t>
  </si>
  <si>
    <t>ТО</t>
  </si>
  <si>
    <t>МО</t>
  </si>
  <si>
    <t>ПО</t>
  </si>
  <si>
    <t>Ценностные множители для частей документации на АСУТП (Sч) равны (в тыс. руб.):</t>
  </si>
  <si>
    <t>С учетом коэффициентов базовые цены разработки частей документации на АСУТП, тыс. руб.</t>
  </si>
  <si>
    <t>Рабочая документация</t>
  </si>
  <si>
    <t>1.3</t>
  </si>
  <si>
    <t>АСУТП</t>
  </si>
  <si>
    <t>"УТВЕРЖДАЮ"</t>
  </si>
  <si>
    <t xml:space="preserve">Генеральный директор                                     ООО "РСО "Универсал"Ерина Э.В. </t>
  </si>
  <si>
    <t>Итого по расчету 407 728,12 тыс. руб.</t>
  </si>
  <si>
    <t xml:space="preserve">СБЦП 81-25-2001-25   "Обмерные работы и обследования зданий и сооружений ", </t>
  </si>
  <si>
    <t xml:space="preserve"> Обмерные работы зданий и сооружений</t>
  </si>
  <si>
    <t xml:space="preserve">Выполнение обмерных работ.
Категория сложности здания,  для многоэтажных зданий -"II" по  табл.5. 
Категория сложности работ-  "II" по табл. 6.  
Высота здания- 12,5  м.
Строительный объем здания- 3181 м3
</t>
  </si>
  <si>
    <t xml:space="preserve">табл. 2
</t>
  </si>
  <si>
    <t>С=(А+В*Х)*Кi = 591*31,81*1,8*0,5099</t>
  </si>
  <si>
    <t>"В" постоянная величина, руб. на 100 м3 здания</t>
  </si>
  <si>
    <t>Хзад., 100 м3</t>
  </si>
  <si>
    <t>К1 - здание с малым строительным объёмом, табл.11 п.4</t>
  </si>
  <si>
    <t>К2- Процентное соотношение отдельных видов работ. Гл.2.1 п.2.1.6, 
Табл.8 (здание многоэтажное, каркасное), в т.ч:</t>
  </si>
  <si>
    <t>Планы фундаментов и фундаменты</t>
  </si>
  <si>
    <t>Поэтажные планы здания</t>
  </si>
  <si>
    <t>Планы полов с определением состава полов</t>
  </si>
  <si>
    <t>Фасады, окна, двери</t>
  </si>
  <si>
    <t>Лестницы</t>
  </si>
  <si>
    <t>Крыши</t>
  </si>
  <si>
    <t>Планы кровли со вскрытиями</t>
  </si>
  <si>
    <t>Итого по разделу 1 в базовых ценах 2001г:</t>
  </si>
  <si>
    <t>Раздел №2 Обследование строительных конструкций</t>
  </si>
  <si>
    <t>Выполнение инженерных обследований строительных конструкций. 
Категория сложности здания,  для многоэтажных зданий -"II" (табл.5)
Категория сложности работ-  "III" (табл. 7)  
Высота здания- 12,5 м.
Строительный объем здания- 3181 м3</t>
  </si>
  <si>
    <t xml:space="preserve">табл. 4
</t>
  </si>
  <si>
    <t>С=(А+В*Х)*Кi=
 (657,6*31,81) *1,8*0,6521</t>
  </si>
  <si>
    <t>"В" постоянная величина, тыс. руб. на 100 м3 здания.</t>
  </si>
  <si>
    <t>Х зад., 100 м3</t>
  </si>
  <si>
    <t>К1- здание с малым строительным объёмом, табл.11 п.3</t>
  </si>
  <si>
    <t>К2 -Процентное соотношение отдельных видов работ. Гл.2.1 п.2.1.6, 
Табл.9 (здание многоэтажное, каркасное), в т.ч:</t>
  </si>
  <si>
    <t>Фундаменты</t>
  </si>
  <si>
    <t>Стены, перегородки, перемычки, окна, двери</t>
  </si>
  <si>
    <t>Полы</t>
  </si>
  <si>
    <t>Совмещенные покрытия или крыши</t>
  </si>
  <si>
    <t>Кровля</t>
  </si>
  <si>
    <t>Итого по разделу 2 в базовых ценах 2001г:</t>
  </si>
  <si>
    <t>Обследование систем инженерного обеспечения зданий и сооружений</t>
  </si>
  <si>
    <t>3.1</t>
  </si>
  <si>
    <r>
      <rPr>
        <b/>
        <sz val="11"/>
        <rFont val="Times New Roman"/>
        <family val="1"/>
        <charset val="204"/>
      </rPr>
      <t xml:space="preserve">Обследование систем отопления
</t>
    </r>
    <r>
      <rPr>
        <sz val="11"/>
        <rFont val="Times New Roman"/>
        <family val="1"/>
        <charset val="204"/>
      </rPr>
      <t xml:space="preserve">
V- 3181 м3</t>
    </r>
  </si>
  <si>
    <t>Таб.15 п.2.3</t>
  </si>
  <si>
    <t xml:space="preserve">С=А*Х*Кi= </t>
  </si>
  <si>
    <t>А- цена обследования систем отопления, тыс.руб  на тыс. м3 здания, до 5:</t>
  </si>
  <si>
    <t>Х зад, система</t>
  </si>
  <si>
    <t>К1 - Насыщенность оборудованием более 50% площади помещений, затрудняющая производство обмерных и обследовательских работ или выполнение обмеров и обследований в затрудненных условиях  (Гл.2.1 п.2.1.7, Таб.10. п.2)</t>
  </si>
  <si>
    <t>2,5*1*1,15*1000</t>
  </si>
  <si>
    <t>3.2</t>
  </si>
  <si>
    <r>
      <rPr>
        <b/>
        <sz val="11"/>
        <rFont val="Times New Roman"/>
        <family val="1"/>
        <charset val="204"/>
      </rPr>
      <t xml:space="preserve">Обследование систем холодного водоснабжения и канализации
</t>
    </r>
    <r>
      <rPr>
        <sz val="11"/>
        <rFont val="Times New Roman"/>
        <family val="1"/>
        <charset val="204"/>
      </rPr>
      <t xml:space="preserve">
V- 3181 м3</t>
    </r>
  </si>
  <si>
    <t>Таб.15 п.3.3</t>
  </si>
  <si>
    <t>А- цена обследования систем холодного водоснабжения и канализации, тыс.руб  на тыс. м3 здания, до 4:</t>
  </si>
  <si>
    <t>1,4*1*1,15*1000</t>
  </si>
  <si>
    <t>3.3</t>
  </si>
  <si>
    <r>
      <rPr>
        <b/>
        <sz val="11"/>
        <rFont val="Times New Roman"/>
        <family val="1"/>
        <charset val="204"/>
      </rPr>
      <t>Обследование систем вентиляции</t>
    </r>
    <r>
      <rPr>
        <sz val="11"/>
        <rFont val="Times New Roman"/>
        <family val="1"/>
        <charset val="204"/>
      </rPr>
      <t xml:space="preserve">
V- 3181м3 
</t>
    </r>
  </si>
  <si>
    <t xml:space="preserve">табл. 15 п.4.3
</t>
  </si>
  <si>
    <t>С=А*Х*Кi= 
3,5*1*1,15*1000</t>
  </si>
  <si>
    <t>А- цена обследования систем вентиляции, тыс.руб на тыс. м3 здания: до 5</t>
  </si>
  <si>
    <t>3.4</t>
  </si>
  <si>
    <r>
      <rPr>
        <b/>
        <sz val="11"/>
        <rFont val="Times New Roman"/>
        <family val="1"/>
        <charset val="204"/>
      </rPr>
      <t xml:space="preserve">Обследование состояния электрических сетей </t>
    </r>
    <r>
      <rPr>
        <sz val="11"/>
        <rFont val="Times New Roman"/>
        <family val="1"/>
        <charset val="204"/>
      </rPr>
      <t xml:space="preserve">
S=480,66 м2
</t>
    </r>
  </si>
  <si>
    <t xml:space="preserve">табл. 15 п.8.1
</t>
  </si>
  <si>
    <t>С=А*Х*Кi= 
1,2*0,48066*1,15*1000</t>
  </si>
  <si>
    <t>А- цена обследования состояния электрических сетей, тыс.руб на тыс. м2 здания</t>
  </si>
  <si>
    <t>Х зад, 1000 м2</t>
  </si>
  <si>
    <t>Итого по разделу 3 в базовых ценах 2001г:</t>
  </si>
  <si>
    <t>Итого  по разделу 1-3 в базовых ценах 2001г:</t>
  </si>
  <si>
    <t>Всего с  с учетом выплат, установленных для РКС и приравненных к ним местностям. Методика, 707/пр, глава IX, п.168</t>
  </si>
  <si>
    <t>Всего по смете</t>
  </si>
  <si>
    <t>Составил:</t>
  </si>
  <si>
    <t xml:space="preserve">гл. инженер Брулева К.А </t>
  </si>
  <si>
    <t>Проверил:</t>
  </si>
  <si>
    <t>НДС 20%</t>
  </si>
  <si>
    <t>Итого по сводному расчету</t>
  </si>
  <si>
    <t>Итого по расчету 2 669 344,88 руб.</t>
  </si>
  <si>
    <t>Итого по расчету 523 948,56 тыс. руб.</t>
  </si>
  <si>
    <t>ЛОКАЛЬНЫЙ СМЕТНЫЙ РАСЧЁТ СМЕТА № 1.3</t>
  </si>
  <si>
    <t xml:space="preserve">Генеральный директор ООО "РСО "Универсал"                                                                                 _____________________________Ерина Э.В. </t>
  </si>
  <si>
    <t xml:space="preserve">Генеральный директор                                     ООО "РСО "Универсал"                                     ________________Ерина Э.В. </t>
  </si>
  <si>
    <t>"___"____________________2025 года</t>
  </si>
  <si>
    <t xml:space="preserve">                                 "___"_______________2025 года</t>
  </si>
  <si>
    <t>Разработка проектно-сметной документации на модернизацию объекта водоотведения КНС № 1 с. Углезаводск</t>
  </si>
  <si>
    <t xml:space="preserve">                                 "___"_________________2025 года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</si>
</sst>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_-* #,##0.00_-;\-* #,##0.00_-;_-* &quot;-&quot;??_-;_-@_-"/>
    <numFmt numFmtId="166" formatCode="0.000"/>
    <numFmt numFmtId="167" formatCode="#,##0.0"/>
    <numFmt numFmtId="168" formatCode="#,##0.00\ _₽"/>
  </numFmts>
  <fonts count="3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name val="Arial Cyr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" fillId="0" borderId="0">
      <alignment horizontal="right" vertical="top" wrapText="1"/>
    </xf>
    <xf numFmtId="0" fontId="1" fillId="0" borderId="1">
      <alignment horizontal="center" wrapText="1"/>
    </xf>
    <xf numFmtId="0" fontId="2" fillId="0" borderId="1" applyBorder="0" applyAlignment="0">
      <alignment horizontal="center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3" fillId="0" borderId="0"/>
    <xf numFmtId="0" fontId="1" fillId="0" borderId="1">
      <alignment horizontal="center"/>
    </xf>
    <xf numFmtId="0" fontId="3" fillId="0" borderId="0">
      <alignment vertical="top"/>
    </xf>
    <xf numFmtId="0" fontId="1" fillId="0" borderId="1">
      <alignment horizontal="center"/>
    </xf>
    <xf numFmtId="0" fontId="1" fillId="0" borderId="0">
      <alignment vertical="top"/>
    </xf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5" fontId="25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 vertical="top" wrapText="1"/>
    </xf>
    <xf numFmtId="0" fontId="5" fillId="0" borderId="0" xfId="4" applyFont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10" fillId="0" borderId="6" xfId="5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0" xfId="4" applyFont="1" applyAlignment="1">
      <alignment horizontal="left" vertical="top" wrapText="1"/>
    </xf>
    <xf numFmtId="0" fontId="11" fillId="0" borderId="0" xfId="6" applyFont="1"/>
    <xf numFmtId="164" fontId="11" fillId="0" borderId="0" xfId="46" applyFont="1"/>
    <xf numFmtId="0" fontId="11" fillId="0" borderId="0" xfId="6" applyFont="1" applyAlignment="1">
      <alignment wrapText="1"/>
    </xf>
    <xf numFmtId="0" fontId="2" fillId="0" borderId="0" xfId="4" applyFont="1">
      <alignment horizontal="center"/>
    </xf>
    <xf numFmtId="0" fontId="2" fillId="0" borderId="0" xfId="4" applyFont="1" applyAlignment="1">
      <alignment horizontal="right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2" fillId="0" borderId="6" xfId="5" applyFont="1" applyBorder="1" applyAlignment="1">
      <alignment vertical="top" wrapText="1"/>
    </xf>
    <xf numFmtId="0" fontId="2" fillId="0" borderId="7" xfId="5" applyFont="1" applyBorder="1" applyAlignment="1">
      <alignment vertical="top" wrapText="1"/>
    </xf>
    <xf numFmtId="166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4" fillId="0" borderId="0" xfId="0" applyNumberFormat="1" applyFont="1" applyAlignment="1">
      <alignment horizontal="center"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2" fillId="0" borderId="1" xfId="5" applyFont="1" applyBorder="1" applyAlignment="1">
      <alignment vertical="center" wrapText="1"/>
    </xf>
    <xf numFmtId="166" fontId="2" fillId="0" borderId="6" xfId="0" applyNumberFormat="1" applyFont="1" applyBorder="1" applyAlignment="1">
      <alignment horizontal="left" vertical="center" wrapText="1"/>
    </xf>
    <xf numFmtId="0" fontId="15" fillId="0" borderId="4" xfId="3" applyFont="1" applyBorder="1">
      <alignment horizontal="center" wrapText="1"/>
    </xf>
    <xf numFmtId="0" fontId="15" fillId="0" borderId="5" xfId="3" applyFont="1" applyBorder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5" xfId="3" applyBorder="1" applyAlignment="1">
      <alignment horizontal="left" wrapText="1"/>
    </xf>
    <xf numFmtId="0" fontId="15" fillId="0" borderId="4" xfId="3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18" fillId="0" borderId="0" xfId="0" applyFont="1"/>
    <xf numFmtId="0" fontId="21" fillId="0" borderId="1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wrapText="1"/>
    </xf>
    <xf numFmtId="1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right" vertical="top" wrapText="1"/>
    </xf>
    <xf numFmtId="0" fontId="23" fillId="0" borderId="1" xfId="0" applyFont="1" applyBorder="1" applyAlignment="1">
      <alignment horizontal="right" vertical="top"/>
    </xf>
    <xf numFmtId="0" fontId="23" fillId="0" borderId="0" xfId="0" applyFont="1" applyAlignment="1">
      <alignment wrapText="1"/>
    </xf>
    <xf numFmtId="167" fontId="21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18" fillId="0" borderId="10" xfId="0" applyFont="1" applyBorder="1"/>
    <xf numFmtId="0" fontId="24" fillId="0" borderId="0" xfId="0" applyFont="1" applyAlignment="1">
      <alignment horizontal="left" vertical="top"/>
    </xf>
    <xf numFmtId="0" fontId="21" fillId="0" borderId="0" xfId="0" applyFont="1"/>
    <xf numFmtId="0" fontId="21" fillId="0" borderId="0" xfId="0" applyFont="1" applyAlignment="1">
      <alignment wrapText="1"/>
    </xf>
    <xf numFmtId="0" fontId="18" fillId="0" borderId="0" xfId="0" applyFont="1" applyAlignment="1">
      <alignment horizontal="center" vertical="top"/>
    </xf>
    <xf numFmtId="0" fontId="4" fillId="0" borderId="0" xfId="4" applyFont="1" applyAlignment="1"/>
    <xf numFmtId="49" fontId="21" fillId="0" borderId="1" xfId="0" applyNumberFormat="1" applyFont="1" applyBorder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/>
    </xf>
    <xf numFmtId="4" fontId="21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165" fontId="2" fillId="0" borderId="1" xfId="49" applyFont="1" applyBorder="1" applyAlignment="1">
      <alignment horizontal="center" vertical="center" wrapText="1"/>
    </xf>
    <xf numFmtId="165" fontId="2" fillId="0" borderId="6" xfId="49" applyFont="1" applyBorder="1" applyAlignment="1">
      <alignment vertical="top" wrapText="1"/>
    </xf>
    <xf numFmtId="165" fontId="10" fillId="0" borderId="6" xfId="49" applyFont="1" applyBorder="1" applyAlignment="1">
      <alignment horizontal="center" vertical="top" wrapText="1"/>
    </xf>
    <xf numFmtId="165" fontId="2" fillId="0" borderId="6" xfId="49" applyFont="1" applyBorder="1" applyAlignment="1">
      <alignment horizontal="center" vertical="center" wrapText="1"/>
    </xf>
    <xf numFmtId="165" fontId="4" fillId="0" borderId="1" xfId="49" applyFont="1" applyBorder="1" applyAlignment="1">
      <alignment horizontal="center" vertical="top" wrapText="1"/>
    </xf>
    <xf numFmtId="165" fontId="2" fillId="0" borderId="1" xfId="49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3" fillId="0" borderId="0" xfId="6" applyAlignment="1">
      <alignment vertical="center"/>
    </xf>
    <xf numFmtId="2" fontId="31" fillId="0" borderId="0" xfId="6" applyNumberFormat="1" applyFont="1" applyAlignment="1">
      <alignment horizontal="right" vertical="center"/>
    </xf>
    <xf numFmtId="0" fontId="0" fillId="0" borderId="0" xfId="0" applyFont="1" applyFill="1" applyAlignment="1">
      <alignment wrapText="1"/>
    </xf>
    <xf numFmtId="0" fontId="32" fillId="0" borderId="0" xfId="0" applyFont="1" applyFill="1"/>
    <xf numFmtId="0" fontId="33" fillId="0" borderId="11" xfId="3" applyFont="1" applyFill="1" applyBorder="1" applyAlignment="1">
      <alignment horizontal="center" vertical="top" wrapText="1"/>
    </xf>
    <xf numFmtId="0" fontId="33" fillId="0" borderId="12" xfId="3" applyFont="1" applyFill="1" applyBorder="1" applyAlignment="1">
      <alignment horizontal="center" vertical="center" wrapText="1"/>
    </xf>
    <xf numFmtId="0" fontId="33" fillId="0" borderId="12" xfId="3" applyFont="1" applyFill="1" applyBorder="1" applyAlignment="1">
      <alignment horizontal="center" wrapText="1"/>
    </xf>
    <xf numFmtId="0" fontId="33" fillId="0" borderId="13" xfId="3" applyFont="1" applyFill="1" applyBorder="1" applyAlignment="1">
      <alignment horizontal="center" wrapText="1"/>
    </xf>
    <xf numFmtId="0" fontId="33" fillId="0" borderId="14" xfId="3" applyNumberFormat="1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3" fillId="0" borderId="1" xfId="5" applyFont="1" applyFill="1" applyBorder="1" applyAlignment="1">
      <alignment horizontal="left" vertical="center" wrapText="1"/>
    </xf>
    <xf numFmtId="0" fontId="33" fillId="0" borderId="1" xfId="5" applyFont="1" applyFill="1" applyBorder="1" applyAlignment="1">
      <alignment horizontal="center" vertical="center" wrapText="1"/>
    </xf>
    <xf numFmtId="10" fontId="33" fillId="0" borderId="1" xfId="5" applyNumberFormat="1" applyFont="1" applyFill="1" applyBorder="1" applyAlignment="1">
      <alignment horizontal="center" vertical="center" wrapText="1"/>
    </xf>
    <xf numFmtId="0" fontId="37" fillId="0" borderId="1" xfId="5" applyFont="1" applyFill="1" applyBorder="1" applyAlignment="1">
      <alignment horizontal="right" vertical="center" wrapText="1"/>
    </xf>
    <xf numFmtId="10" fontId="37" fillId="0" borderId="1" xfId="5" applyNumberFormat="1" applyFont="1" applyFill="1" applyBorder="1" applyAlignment="1">
      <alignment horizontal="center" vertical="center" wrapText="1"/>
    </xf>
    <xf numFmtId="0" fontId="37" fillId="0" borderId="28" xfId="5" applyFont="1" applyFill="1" applyBorder="1" applyAlignment="1">
      <alignment horizontal="right" vertical="center" wrapText="1"/>
    </xf>
    <xf numFmtId="10" fontId="37" fillId="2" borderId="28" xfId="5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vertical="top" wrapText="1"/>
    </xf>
    <xf numFmtId="168" fontId="33" fillId="0" borderId="33" xfId="0" applyNumberFormat="1" applyFont="1" applyFill="1" applyBorder="1" applyAlignment="1">
      <alignment horizontal="center" vertical="center" wrapText="1"/>
    </xf>
    <xf numFmtId="0" fontId="33" fillId="0" borderId="7" xfId="5" applyFont="1" applyFill="1" applyBorder="1" applyAlignment="1">
      <alignment vertical="center" wrapText="1"/>
    </xf>
    <xf numFmtId="0" fontId="33" fillId="0" borderId="7" xfId="5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vertical="center" wrapText="1"/>
    </xf>
    <xf numFmtId="0" fontId="37" fillId="0" borderId="4" xfId="5" applyFont="1" applyFill="1" applyBorder="1" applyAlignment="1">
      <alignment horizontal="right" vertical="center" wrapText="1"/>
    </xf>
    <xf numFmtId="10" fontId="37" fillId="0" borderId="4" xfId="5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vertical="top" wrapText="1"/>
    </xf>
    <xf numFmtId="168" fontId="33" fillId="0" borderId="14" xfId="0" applyNumberFormat="1" applyFont="1" applyFill="1" applyBorder="1" applyAlignment="1">
      <alignment horizontal="center" vertical="center" wrapText="1"/>
    </xf>
    <xf numFmtId="0" fontId="33" fillId="0" borderId="1" xfId="5" applyFont="1" applyFill="1" applyBorder="1" applyAlignment="1">
      <alignment vertical="center" wrapText="1"/>
    </xf>
    <xf numFmtId="0" fontId="33" fillId="2" borderId="1" xfId="5" applyFont="1" applyFill="1" applyBorder="1" applyAlignment="1">
      <alignment horizontal="center" vertical="center" wrapText="1"/>
    </xf>
    <xf numFmtId="0" fontId="37" fillId="0" borderId="1" xfId="5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6" xfId="5" applyFont="1" applyFill="1" applyBorder="1" applyAlignment="1">
      <alignment vertical="center" wrapText="1"/>
    </xf>
    <xf numFmtId="0" fontId="33" fillId="0" borderId="6" xfId="5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vertical="top" wrapText="1"/>
    </xf>
    <xf numFmtId="0" fontId="33" fillId="0" borderId="42" xfId="0" applyFont="1" applyFill="1" applyBorder="1" applyAlignment="1">
      <alignment horizontal="center" vertical="top" wrapText="1"/>
    </xf>
    <xf numFmtId="168" fontId="33" fillId="0" borderId="43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top" wrapText="1"/>
    </xf>
    <xf numFmtId="0" fontId="34" fillId="0" borderId="46" xfId="0" applyFont="1" applyFill="1" applyBorder="1" applyAlignment="1">
      <alignment horizontal="center" vertical="center" wrapText="1"/>
    </xf>
    <xf numFmtId="168" fontId="35" fillId="0" borderId="19" xfId="0" applyNumberFormat="1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center" vertical="center" wrapText="1"/>
    </xf>
    <xf numFmtId="168" fontId="35" fillId="0" borderId="37" xfId="0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top" wrapText="1"/>
    </xf>
    <xf numFmtId="0" fontId="34" fillId="0" borderId="27" xfId="0" applyFont="1" applyFill="1" applyBorder="1" applyAlignment="1">
      <alignment horizontal="center" vertical="center" wrapText="1"/>
    </xf>
    <xf numFmtId="168" fontId="35" fillId="0" borderId="33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wrapText="1"/>
    </xf>
    <xf numFmtId="4" fontId="31" fillId="0" borderId="0" xfId="6" applyNumberFormat="1" applyFont="1" applyAlignment="1">
      <alignment horizontal="left"/>
    </xf>
    <xf numFmtId="0" fontId="33" fillId="0" borderId="0" xfId="6" applyFont="1" applyBorder="1" applyAlignment="1">
      <alignment horizontal="left" vertical="center" wrapText="1"/>
    </xf>
    <xf numFmtId="0" fontId="35" fillId="0" borderId="2" xfId="6" applyFont="1" applyBorder="1" applyAlignment="1">
      <alignment horizontal="left" vertical="center" wrapText="1"/>
    </xf>
    <xf numFmtId="0" fontId="35" fillId="0" borderId="2" xfId="6" applyFont="1" applyBorder="1" applyAlignment="1">
      <alignment horizontal="center" vertical="center" wrapText="1"/>
    </xf>
    <xf numFmtId="166" fontId="35" fillId="0" borderId="2" xfId="6" applyNumberFormat="1" applyFont="1" applyBorder="1" applyAlignment="1">
      <alignment horizontal="center" vertical="center" wrapText="1"/>
    </xf>
    <xf numFmtId="0" fontId="34" fillId="0" borderId="0" xfId="0" applyFont="1"/>
    <xf numFmtId="0" fontId="34" fillId="0" borderId="0" xfId="6" applyFont="1" applyAlignment="1">
      <alignment horizontal="left" vertical="center" wrapText="1"/>
    </xf>
    <xf numFmtId="0" fontId="35" fillId="0" borderId="2" xfId="6" applyFont="1" applyBorder="1" applyAlignment="1">
      <alignment horizontal="right" vertical="center" wrapText="1"/>
    </xf>
    <xf numFmtId="0" fontId="35" fillId="0" borderId="2" xfId="6" applyFont="1" applyBorder="1" applyAlignment="1">
      <alignment horizontal="center" vertical="center"/>
    </xf>
    <xf numFmtId="0" fontId="34" fillId="0" borderId="0" xfId="0" applyFont="1" applyFill="1" applyAlignment="1">
      <alignment wrapText="1"/>
    </xf>
    <xf numFmtId="0" fontId="33" fillId="0" borderId="0" xfId="0" applyFont="1" applyFill="1" applyAlignment="1">
      <alignment wrapText="1"/>
    </xf>
    <xf numFmtId="0" fontId="3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 wrapText="1"/>
    </xf>
    <xf numFmtId="0" fontId="29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68" fontId="0" fillId="0" borderId="0" xfId="0" applyNumberFormat="1" applyFont="1" applyFill="1" applyAlignment="1">
      <alignment wrapText="1"/>
    </xf>
    <xf numFmtId="0" fontId="0" fillId="0" borderId="0" xfId="0" applyFont="1" applyFill="1" applyBorder="1" applyAlignment="1">
      <alignment wrapText="1"/>
    </xf>
    <xf numFmtId="0" fontId="32" fillId="0" borderId="0" xfId="0" applyFont="1" applyFill="1" applyAlignment="1">
      <alignment horizontal="center" vertical="top" wrapText="1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wrapText="1"/>
    </xf>
    <xf numFmtId="168" fontId="32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center" vertical="top" wrapText="1"/>
    </xf>
    <xf numFmtId="0" fontId="23" fillId="0" borderId="1" xfId="0" applyFont="1" applyBorder="1"/>
    <xf numFmtId="0" fontId="23" fillId="0" borderId="0" xfId="0" applyFont="1" applyBorder="1"/>
    <xf numFmtId="0" fontId="19" fillId="0" borderId="0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/>
    </xf>
    <xf numFmtId="4" fontId="23" fillId="0" borderId="0" xfId="0" applyNumberFormat="1" applyFont="1" applyBorder="1" applyAlignment="1">
      <alignment horizontal="right" vertical="top"/>
    </xf>
    <xf numFmtId="0" fontId="4" fillId="0" borderId="0" xfId="4" applyFont="1">
      <alignment horizontal="center"/>
    </xf>
    <xf numFmtId="0" fontId="30" fillId="0" borderId="0" xfId="0" applyFont="1" applyAlignment="1">
      <alignment horizontal="center" vertical="center"/>
    </xf>
    <xf numFmtId="0" fontId="13" fillId="0" borderId="0" xfId="4" applyFont="1" applyAlignment="1">
      <alignment horizontal="left" vertical="top" wrapText="1"/>
    </xf>
    <xf numFmtId="0" fontId="13" fillId="0" borderId="2" xfId="4" applyFont="1" applyBorder="1" applyAlignment="1">
      <alignment horizontal="center" vertical="top" wrapText="1"/>
    </xf>
    <xf numFmtId="0" fontId="1" fillId="0" borderId="0" xfId="4" applyAlignment="1">
      <alignment horizontal="left" vertical="top" wrapText="1"/>
    </xf>
    <xf numFmtId="0" fontId="1" fillId="0" borderId="10" xfId="4" applyBorder="1" applyAlignment="1">
      <alignment horizontal="left" vertical="top" wrapText="1"/>
    </xf>
    <xf numFmtId="0" fontId="33" fillId="0" borderId="23" xfId="0" applyFont="1" applyFill="1" applyBorder="1" applyAlignment="1">
      <alignment horizontal="center" vertical="top" wrapText="1"/>
    </xf>
    <xf numFmtId="0" fontId="33" fillId="0" borderId="25" xfId="0" applyFont="1" applyFill="1" applyBorder="1" applyAlignment="1">
      <alignment horizontal="center" vertical="top" wrapText="1"/>
    </xf>
    <xf numFmtId="0" fontId="33" fillId="0" borderId="26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168" fontId="33" fillId="0" borderId="24" xfId="0" applyNumberFormat="1" applyFont="1" applyFill="1" applyBorder="1" applyAlignment="1">
      <alignment horizontal="center" vertical="center" wrapText="1"/>
    </xf>
    <xf numFmtId="168" fontId="33" fillId="0" borderId="2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4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left" vertical="center" wrapText="1"/>
    </xf>
    <xf numFmtId="0" fontId="33" fillId="0" borderId="31" xfId="0" applyFont="1" applyFill="1" applyBorder="1" applyAlignment="1">
      <alignment horizontal="left" vertical="center" wrapText="1"/>
    </xf>
    <xf numFmtId="0" fontId="33" fillId="0" borderId="32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168" fontId="33" fillId="0" borderId="36" xfId="0" applyNumberFormat="1" applyFont="1" applyFill="1" applyBorder="1" applyAlignment="1">
      <alignment horizontal="center" vertical="center" wrapText="1"/>
    </xf>
    <xf numFmtId="168" fontId="33" fillId="0" borderId="37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38" xfId="0" applyFont="1" applyFill="1" applyBorder="1" applyAlignment="1">
      <alignment horizontal="left" vertical="center" wrapText="1"/>
    </xf>
    <xf numFmtId="0" fontId="33" fillId="0" borderId="39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33" fillId="0" borderId="23" xfId="0" applyNumberFormat="1" applyFont="1" applyFill="1" applyBorder="1" applyAlignment="1">
      <alignment horizontal="center" vertical="top" wrapText="1"/>
    </xf>
    <xf numFmtId="49" fontId="33" fillId="0" borderId="25" xfId="0" applyNumberFormat="1" applyFont="1" applyFill="1" applyBorder="1" applyAlignment="1">
      <alignment horizontal="center" vertical="top" wrapText="1"/>
    </xf>
    <xf numFmtId="49" fontId="33" fillId="0" borderId="42" xfId="0" applyNumberFormat="1" applyFont="1" applyFill="1" applyBorder="1" applyAlignment="1">
      <alignment horizontal="center" vertical="top" wrapText="1"/>
    </xf>
    <xf numFmtId="0" fontId="33" fillId="0" borderId="7" xfId="0" applyFont="1" applyFill="1" applyBorder="1" applyAlignment="1">
      <alignment horizontal="left" vertical="top" wrapText="1"/>
    </xf>
    <xf numFmtId="0" fontId="33" fillId="0" borderId="1" xfId="5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168" fontId="33" fillId="0" borderId="40" xfId="0" applyNumberFormat="1" applyFont="1" applyFill="1" applyBorder="1" applyAlignment="1">
      <alignment horizontal="center" vertical="center" wrapText="1"/>
    </xf>
    <xf numFmtId="168" fontId="33" fillId="0" borderId="41" xfId="0" applyNumberFormat="1" applyFont="1" applyFill="1" applyBorder="1" applyAlignment="1">
      <alignment horizontal="center" vertical="center" wrapText="1"/>
    </xf>
    <xf numFmtId="168" fontId="33" fillId="0" borderId="43" xfId="0" applyNumberFormat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wrapText="1"/>
    </xf>
    <xf numFmtId="0" fontId="33" fillId="0" borderId="44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4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2" fillId="0" borderId="6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0" xfId="4" applyFont="1" applyAlignment="1">
      <alignment horizontal="right" vertical="top" wrapText="1"/>
    </xf>
    <xf numFmtId="0" fontId="1" fillId="0" borderId="0" xfId="4" applyAlignment="1">
      <alignment horizontal="right" vertical="top" wrapText="1"/>
    </xf>
    <xf numFmtId="0" fontId="14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65" fontId="2" fillId="0" borderId="4" xfId="49" applyFont="1" applyBorder="1" applyAlignment="1">
      <alignment horizontal="center" vertical="center" wrapText="1"/>
    </xf>
    <xf numFmtId="165" fontId="2" fillId="0" borderId="6" xfId="49" applyFont="1" applyBorder="1" applyAlignment="1">
      <alignment horizontal="center" vertical="center" wrapText="1"/>
    </xf>
    <xf numFmtId="165" fontId="2" fillId="0" borderId="7" xfId="49" applyFont="1" applyBorder="1" applyAlignment="1">
      <alignment horizontal="center" vertical="center" wrapText="1"/>
    </xf>
    <xf numFmtId="0" fontId="2" fillId="0" borderId="4" xfId="5" applyFont="1" applyBorder="1" applyAlignment="1">
      <alignment horizontal="left" vertical="center" wrapText="1"/>
    </xf>
    <xf numFmtId="0" fontId="13" fillId="0" borderId="0" xfId="4" applyFont="1" applyAlignment="1">
      <alignment horizontal="righ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wrapText="1"/>
    </xf>
    <xf numFmtId="0" fontId="23" fillId="0" borderId="9" xfId="0" applyFont="1" applyBorder="1" applyAlignment="1">
      <alignment horizontal="right" vertical="top" wrapText="1"/>
    </xf>
    <xf numFmtId="0" fontId="23" fillId="0" borderId="3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right" vertical="center" wrapText="1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top" wrapText="1"/>
    </xf>
    <xf numFmtId="0" fontId="19" fillId="0" borderId="9" xfId="0" applyFont="1" applyBorder="1" applyAlignment="1">
      <alignment horizontal="right" vertical="top" wrapText="1"/>
    </xf>
    <xf numFmtId="0" fontId="13" fillId="0" borderId="0" xfId="4" applyFont="1" applyBorder="1" applyAlignment="1">
      <alignment horizontal="center" vertical="top" wrapText="1"/>
    </xf>
    <xf numFmtId="0" fontId="4" fillId="0" borderId="0" xfId="4" applyFont="1" applyAlignment="1">
      <alignment horizontal="center" vertical="top" wrapText="1"/>
    </xf>
    <xf numFmtId="0" fontId="1" fillId="0" borderId="0" xfId="4" applyAlignment="1">
      <alignment horizontal="center" vertical="top" wrapText="1"/>
    </xf>
  </cellXfs>
  <cellStyles count="51">
    <cellStyle name="Акт" xfId="7"/>
    <cellStyle name="АктМТСН" xfId="8"/>
    <cellStyle name="АктМТСН 2" xfId="37"/>
    <cellStyle name="АктМТСН 3" xfId="27"/>
    <cellStyle name="ВедРесурсов" xfId="9"/>
    <cellStyle name="ВедРесурсовАкт" xfId="10"/>
    <cellStyle name="Итоги" xfId="1"/>
    <cellStyle name="ИтогоАктБазЦ" xfId="11"/>
    <cellStyle name="ИтогоАктБИМ" xfId="12"/>
    <cellStyle name="ИтогоАктБИМ 2" xfId="38"/>
    <cellStyle name="ИтогоАктБИМ 3" xfId="28"/>
    <cellStyle name="ИтогоАктРесМет" xfId="13"/>
    <cellStyle name="ИтогоАктРесМет 2" xfId="39"/>
    <cellStyle name="ИтогоАктРесМет 3" xfId="29"/>
    <cellStyle name="ИтогоБазЦ" xfId="14"/>
    <cellStyle name="ИтогоБИМ" xfId="15"/>
    <cellStyle name="ИтогоБИМ 2" xfId="40"/>
    <cellStyle name="ИтогоБИМ 3" xfId="30"/>
    <cellStyle name="ИтогоРесМет" xfId="16"/>
    <cellStyle name="ИтогоРесМет 2" xfId="41"/>
    <cellStyle name="ИтогоРесМет 3" xfId="31"/>
    <cellStyle name="ЛокСмета" xfId="2"/>
    <cellStyle name="ЛокСмМТСН" xfId="17"/>
    <cellStyle name="ЛокСмМТСН 2" xfId="42"/>
    <cellStyle name="ЛокСмМТСН 3" xfId="32"/>
    <cellStyle name="М29" xfId="18"/>
    <cellStyle name="М29 2" xfId="43"/>
    <cellStyle name="М29 3" xfId="33"/>
    <cellStyle name="ОбСмета" xfId="19"/>
    <cellStyle name="ОбСмета 2" xfId="44"/>
    <cellStyle name="ОбСмета 3" xfId="34"/>
    <cellStyle name="Обычный" xfId="0" builtinId="0"/>
    <cellStyle name="Обычный 2" xfId="6"/>
    <cellStyle name="Обычный 3" xfId="48"/>
    <cellStyle name="Параметр" xfId="20"/>
    <cellStyle name="ПеременныеСметы" xfId="21"/>
    <cellStyle name="ПИР" xfId="3"/>
    <cellStyle name="РесСмета" xfId="22"/>
    <cellStyle name="СводкаСтоимРаб" xfId="23"/>
    <cellStyle name="СводРасч" xfId="24"/>
    <cellStyle name="СводРасч 2" xfId="45"/>
    <cellStyle name="СводРасч 3" xfId="35"/>
    <cellStyle name="Титул" xfId="4"/>
    <cellStyle name="Финансовый" xfId="49" builtinId="3"/>
    <cellStyle name="Финансовый 2" xfId="46"/>
    <cellStyle name="Финансовый 2 2" xfId="47"/>
    <cellStyle name="Финансовый 3" xfId="36"/>
    <cellStyle name="Финансовый 4" xfId="25"/>
    <cellStyle name="Финансовый 5" xfId="50"/>
    <cellStyle name="Хвост" xfId="5"/>
    <cellStyle name="Экспертиза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70"/>
  <sheetViews>
    <sheetView view="pageBreakPreview" zoomScale="85" zoomScaleSheetLayoutView="85" workbookViewId="0">
      <selection activeCell="B63" sqref="B63"/>
    </sheetView>
  </sheetViews>
  <sheetFormatPr defaultColWidth="9.109375" defaultRowHeight="14.4"/>
  <cols>
    <col min="1" max="1" width="7.109375" style="149" customWidth="1"/>
    <col min="2" max="2" width="38" style="141" customWidth="1"/>
    <col min="3" max="3" width="44.6640625" style="138" customWidth="1"/>
    <col min="4" max="4" width="12.5546875" style="81" customWidth="1"/>
    <col min="5" max="5" width="28.44140625" style="81" customWidth="1"/>
    <col min="6" max="6" width="19" style="142" customWidth="1"/>
    <col min="7" max="16384" width="9.109375" style="81"/>
  </cols>
  <sheetData>
    <row r="1" spans="1:8" s="79" customFormat="1" ht="27" customHeight="1">
      <c r="A1" s="2"/>
      <c r="B1" s="78"/>
      <c r="C1" s="10"/>
      <c r="D1" s="11"/>
      <c r="E1" s="157" t="s">
        <v>95</v>
      </c>
      <c r="F1" s="157"/>
      <c r="H1" s="80"/>
    </row>
    <row r="2" spans="1:8" ht="57" customHeight="1">
      <c r="A2" s="2"/>
      <c r="B2" s="158"/>
      <c r="C2" s="158"/>
      <c r="D2" s="11"/>
      <c r="E2" s="159" t="s">
        <v>96</v>
      </c>
      <c r="F2" s="159"/>
    </row>
    <row r="3" spans="1:8" ht="18" customHeight="1">
      <c r="A3" s="2"/>
      <c r="B3" s="160"/>
      <c r="C3" s="160"/>
      <c r="D3" s="11"/>
      <c r="E3" s="161" t="s">
        <v>171</v>
      </c>
      <c r="F3" s="161"/>
    </row>
    <row r="4" spans="1:8" ht="21.75" customHeight="1">
      <c r="A4" s="2"/>
      <c r="B4" s="5"/>
      <c r="C4" s="5"/>
      <c r="D4" s="6"/>
      <c r="E4" s="6"/>
      <c r="F4" s="6"/>
    </row>
    <row r="5" spans="1:8">
      <c r="A5" s="2"/>
      <c r="B5" s="156" t="s">
        <v>18</v>
      </c>
      <c r="C5" s="156"/>
      <c r="D5" s="156"/>
      <c r="E5" s="156"/>
      <c r="F5" s="156"/>
    </row>
    <row r="6" spans="1:8" customFormat="1" ht="21" customHeight="1">
      <c r="A6" s="2"/>
      <c r="B6" s="174" t="s">
        <v>170</v>
      </c>
      <c r="C6" s="174"/>
      <c r="D6" s="174"/>
      <c r="E6" s="174"/>
      <c r="F6" s="174"/>
      <c r="G6" s="82"/>
    </row>
    <row r="7" spans="1:8" customFormat="1">
      <c r="A7" s="2"/>
      <c r="B7" s="175"/>
      <c r="C7" s="175"/>
      <c r="D7" s="175"/>
      <c r="E7" s="175"/>
      <c r="F7" s="175"/>
      <c r="G7" s="82"/>
    </row>
    <row r="8" spans="1:8" customFormat="1" ht="15" customHeight="1">
      <c r="A8" s="2"/>
      <c r="B8" s="176" t="s">
        <v>2</v>
      </c>
      <c r="C8" s="176"/>
      <c r="D8" s="176"/>
      <c r="E8" s="176"/>
      <c r="F8" s="3"/>
      <c r="G8" s="82"/>
    </row>
    <row r="9" spans="1:8" ht="16.5" customHeight="1">
      <c r="A9" s="2"/>
      <c r="B9" s="2"/>
      <c r="C9" s="5"/>
      <c r="D9" s="5"/>
      <c r="E9" s="5"/>
      <c r="F9" s="5"/>
    </row>
    <row r="10" spans="1:8" ht="15" thickBot="1">
      <c r="A10" s="2"/>
      <c r="B10" s="4" t="s">
        <v>97</v>
      </c>
      <c r="C10" s="5"/>
      <c r="D10" s="5"/>
      <c r="E10" s="5"/>
      <c r="F10" s="5"/>
    </row>
    <row r="11" spans="1:8" ht="24" customHeight="1" thickBot="1">
      <c r="A11" s="83">
        <v>1</v>
      </c>
      <c r="B11" s="84">
        <v>2</v>
      </c>
      <c r="C11" s="84">
        <v>3</v>
      </c>
      <c r="D11" s="85">
        <v>4</v>
      </c>
      <c r="E11" s="86">
        <v>5</v>
      </c>
      <c r="F11" s="87">
        <v>6</v>
      </c>
    </row>
    <row r="12" spans="1:8" ht="43.5" customHeight="1" thickBot="1">
      <c r="A12" s="88"/>
      <c r="B12" s="177" t="s">
        <v>98</v>
      </c>
      <c r="C12" s="178"/>
      <c r="D12" s="178"/>
      <c r="E12" s="179"/>
      <c r="F12" s="89"/>
    </row>
    <row r="13" spans="1:8" ht="26.25" customHeight="1">
      <c r="A13" s="180" t="s">
        <v>99</v>
      </c>
      <c r="B13" s="181"/>
      <c r="C13" s="181"/>
      <c r="D13" s="181"/>
      <c r="E13" s="181"/>
      <c r="F13" s="182"/>
    </row>
    <row r="14" spans="1:8" ht="32.25" customHeight="1">
      <c r="A14" s="162">
        <v>1</v>
      </c>
      <c r="B14" s="165" t="s">
        <v>100</v>
      </c>
      <c r="C14" s="168" t="s">
        <v>101</v>
      </c>
      <c r="D14" s="169"/>
      <c r="E14" s="170" t="s">
        <v>102</v>
      </c>
      <c r="F14" s="172">
        <f>D15*D16*D17*D18</f>
        <v>17254.749832200003</v>
      </c>
    </row>
    <row r="15" spans="1:8" ht="35.25" customHeight="1">
      <c r="A15" s="163"/>
      <c r="B15" s="166"/>
      <c r="C15" s="90" t="s">
        <v>103</v>
      </c>
      <c r="D15" s="91">
        <v>591</v>
      </c>
      <c r="E15" s="170"/>
      <c r="F15" s="172"/>
    </row>
    <row r="16" spans="1:8" ht="28.8" customHeight="1">
      <c r="A16" s="163"/>
      <c r="B16" s="166"/>
      <c r="C16" s="90" t="s">
        <v>104</v>
      </c>
      <c r="D16" s="91">
        <v>31.81</v>
      </c>
      <c r="E16" s="170"/>
      <c r="F16" s="172"/>
    </row>
    <row r="17" spans="1:6" ht="50.25" customHeight="1">
      <c r="A17" s="163"/>
      <c r="B17" s="166"/>
      <c r="C17" s="90" t="s">
        <v>105</v>
      </c>
      <c r="D17" s="91">
        <v>1.8</v>
      </c>
      <c r="E17" s="170"/>
      <c r="F17" s="172"/>
    </row>
    <row r="18" spans="1:6" ht="69.75" customHeight="1">
      <c r="A18" s="163"/>
      <c r="B18" s="166"/>
      <c r="C18" s="90" t="s">
        <v>106</v>
      </c>
      <c r="D18" s="92">
        <f>SUM(D19:D25)</f>
        <v>0.50990000000000002</v>
      </c>
      <c r="E18" s="170"/>
      <c r="F18" s="172"/>
    </row>
    <row r="19" spans="1:6" ht="32.25" customHeight="1">
      <c r="A19" s="163"/>
      <c r="B19" s="166"/>
      <c r="C19" s="93" t="s">
        <v>107</v>
      </c>
      <c r="D19" s="94">
        <v>2.8400000000000002E-2</v>
      </c>
      <c r="E19" s="170"/>
      <c r="F19" s="172"/>
    </row>
    <row r="20" spans="1:6" ht="34.5" customHeight="1">
      <c r="A20" s="163"/>
      <c r="B20" s="166"/>
      <c r="C20" s="93" t="s">
        <v>108</v>
      </c>
      <c r="D20" s="94">
        <v>0.14380000000000001</v>
      </c>
      <c r="E20" s="170"/>
      <c r="F20" s="172"/>
    </row>
    <row r="21" spans="1:6" ht="34.5" customHeight="1">
      <c r="A21" s="163"/>
      <c r="B21" s="166"/>
      <c r="C21" s="93" t="s">
        <v>109</v>
      </c>
      <c r="D21" s="94">
        <v>3.1199999999999999E-2</v>
      </c>
      <c r="E21" s="170"/>
      <c r="F21" s="172"/>
    </row>
    <row r="22" spans="1:6" ht="35.25" customHeight="1">
      <c r="A22" s="163"/>
      <c r="B22" s="166"/>
      <c r="C22" s="93" t="s">
        <v>110</v>
      </c>
      <c r="D22" s="94">
        <v>0.1588</v>
      </c>
      <c r="E22" s="170"/>
      <c r="F22" s="172"/>
    </row>
    <row r="23" spans="1:6" ht="33.75" customHeight="1">
      <c r="A23" s="163"/>
      <c r="B23" s="166"/>
      <c r="C23" s="93" t="s">
        <v>111</v>
      </c>
      <c r="D23" s="94">
        <v>2.98E-2</v>
      </c>
      <c r="E23" s="170"/>
      <c r="F23" s="172"/>
    </row>
    <row r="24" spans="1:6" ht="30.75" customHeight="1">
      <c r="A24" s="163"/>
      <c r="B24" s="166"/>
      <c r="C24" s="93" t="s">
        <v>112</v>
      </c>
      <c r="D24" s="94">
        <v>0.1061</v>
      </c>
      <c r="E24" s="170"/>
      <c r="F24" s="172"/>
    </row>
    <row r="25" spans="1:6" ht="39" customHeight="1" thickBot="1">
      <c r="A25" s="164"/>
      <c r="B25" s="167"/>
      <c r="C25" s="95" t="s">
        <v>113</v>
      </c>
      <c r="D25" s="96">
        <v>1.18E-2</v>
      </c>
      <c r="E25" s="171"/>
      <c r="F25" s="173"/>
    </row>
    <row r="26" spans="1:6" ht="15" thickBot="1">
      <c r="A26" s="97"/>
      <c r="B26" s="183" t="s">
        <v>114</v>
      </c>
      <c r="C26" s="184"/>
      <c r="D26" s="184"/>
      <c r="E26" s="185"/>
      <c r="F26" s="98">
        <f>F14</f>
        <v>17254.749832200003</v>
      </c>
    </row>
    <row r="27" spans="1:6" ht="31.5" customHeight="1">
      <c r="A27" s="186" t="s">
        <v>115</v>
      </c>
      <c r="B27" s="187"/>
      <c r="C27" s="187"/>
      <c r="D27" s="187"/>
      <c r="E27" s="187"/>
      <c r="F27" s="188"/>
    </row>
    <row r="28" spans="1:6" ht="37.5" customHeight="1">
      <c r="A28" s="162">
        <v>2</v>
      </c>
      <c r="B28" s="165" t="s">
        <v>116</v>
      </c>
      <c r="C28" s="189" t="s">
        <v>117</v>
      </c>
      <c r="D28" s="190"/>
      <c r="E28" s="191" t="s">
        <v>118</v>
      </c>
      <c r="F28" s="193">
        <f>D29*D30*D31*D32</f>
        <v>21315.284498880003</v>
      </c>
    </row>
    <row r="29" spans="1:6" ht="44.25" customHeight="1">
      <c r="A29" s="163"/>
      <c r="B29" s="166"/>
      <c r="C29" s="99" t="s">
        <v>119</v>
      </c>
      <c r="D29" s="100">
        <v>657.6</v>
      </c>
      <c r="E29" s="192"/>
      <c r="F29" s="194"/>
    </row>
    <row r="30" spans="1:6" ht="33.75" customHeight="1">
      <c r="A30" s="163"/>
      <c r="B30" s="166"/>
      <c r="C30" s="90" t="s">
        <v>120</v>
      </c>
      <c r="D30" s="91">
        <v>31.81</v>
      </c>
      <c r="E30" s="192"/>
      <c r="F30" s="194"/>
    </row>
    <row r="31" spans="1:6" ht="30" customHeight="1">
      <c r="A31" s="163"/>
      <c r="B31" s="166"/>
      <c r="C31" s="90" t="s">
        <v>121</v>
      </c>
      <c r="D31" s="91">
        <v>1.8</v>
      </c>
      <c r="E31" s="192"/>
      <c r="F31" s="194"/>
    </row>
    <row r="32" spans="1:6" ht="57" customHeight="1">
      <c r="A32" s="163"/>
      <c r="B32" s="166"/>
      <c r="C32" s="90" t="s">
        <v>122</v>
      </c>
      <c r="D32" s="92">
        <f>SUM(D33:D38)</f>
        <v>0.56610000000000005</v>
      </c>
      <c r="E32" s="192"/>
      <c r="F32" s="194"/>
    </row>
    <row r="33" spans="1:6" ht="30" customHeight="1">
      <c r="A33" s="163"/>
      <c r="B33" s="166"/>
      <c r="C33" s="93" t="s">
        <v>123</v>
      </c>
      <c r="D33" s="94">
        <v>3.8399999999999997E-2</v>
      </c>
      <c r="E33" s="101"/>
      <c r="F33" s="194"/>
    </row>
    <row r="34" spans="1:6" ht="30" customHeight="1">
      <c r="A34" s="163"/>
      <c r="B34" s="166"/>
      <c r="C34" s="93" t="s">
        <v>124</v>
      </c>
      <c r="D34" s="94">
        <v>0.23400000000000001</v>
      </c>
      <c r="E34" s="101"/>
      <c r="F34" s="194"/>
    </row>
    <row r="35" spans="1:6" ht="30" customHeight="1">
      <c r="A35" s="163"/>
      <c r="B35" s="166"/>
      <c r="C35" s="93" t="s">
        <v>125</v>
      </c>
      <c r="D35" s="94">
        <v>6.4500000000000002E-2</v>
      </c>
      <c r="E35" s="101"/>
      <c r="F35" s="194"/>
    </row>
    <row r="36" spans="1:6" ht="30" customHeight="1">
      <c r="A36" s="163"/>
      <c r="B36" s="166"/>
      <c r="C36" s="93" t="s">
        <v>111</v>
      </c>
      <c r="D36" s="94">
        <v>2.3199999999999998E-2</v>
      </c>
      <c r="E36" s="101"/>
      <c r="F36" s="194"/>
    </row>
    <row r="37" spans="1:6" ht="30" customHeight="1">
      <c r="A37" s="163"/>
      <c r="B37" s="166"/>
      <c r="C37" s="93" t="s">
        <v>126</v>
      </c>
      <c r="D37" s="94">
        <v>0.17199999999999999</v>
      </c>
      <c r="E37" s="101"/>
      <c r="F37" s="194"/>
    </row>
    <row r="38" spans="1:6" ht="29.25" customHeight="1" thickBot="1">
      <c r="A38" s="163"/>
      <c r="B38" s="166"/>
      <c r="C38" s="102" t="s">
        <v>127</v>
      </c>
      <c r="D38" s="103">
        <v>3.4000000000000002E-2</v>
      </c>
      <c r="E38" s="101"/>
      <c r="F38" s="194"/>
    </row>
    <row r="39" spans="1:6" ht="15" thickBot="1">
      <c r="A39" s="104"/>
      <c r="B39" s="195" t="s">
        <v>128</v>
      </c>
      <c r="C39" s="196"/>
      <c r="D39" s="196"/>
      <c r="E39" s="197"/>
      <c r="F39" s="105">
        <f>ROUND(SUM(F28),2)</f>
        <v>21315.279999999999</v>
      </c>
    </row>
    <row r="40" spans="1:6" ht="31.5" customHeight="1">
      <c r="A40" s="198" t="s">
        <v>129</v>
      </c>
      <c r="B40" s="199"/>
      <c r="C40" s="199"/>
      <c r="D40" s="199"/>
      <c r="E40" s="199"/>
      <c r="F40" s="200"/>
    </row>
    <row r="41" spans="1:6" ht="37.5" customHeight="1">
      <c r="A41" s="201" t="s">
        <v>130</v>
      </c>
      <c r="B41" s="165" t="s">
        <v>131</v>
      </c>
      <c r="C41" s="205" t="s">
        <v>132</v>
      </c>
      <c r="D41" s="205"/>
      <c r="E41" s="206" t="s">
        <v>133</v>
      </c>
      <c r="F41" s="208">
        <f>D42*D43*D44*1000</f>
        <v>2875</v>
      </c>
    </row>
    <row r="42" spans="1:6" ht="49.5" customHeight="1">
      <c r="A42" s="202"/>
      <c r="B42" s="166"/>
      <c r="C42" s="106" t="s">
        <v>134</v>
      </c>
      <c r="D42" s="107">
        <v>2.5</v>
      </c>
      <c r="E42" s="207"/>
      <c r="F42" s="209"/>
    </row>
    <row r="43" spans="1:6" ht="30.75" customHeight="1">
      <c r="A43" s="202"/>
      <c r="B43" s="166"/>
      <c r="C43" s="106" t="s">
        <v>135</v>
      </c>
      <c r="D43" s="107">
        <v>1</v>
      </c>
      <c r="E43" s="207"/>
      <c r="F43" s="209"/>
    </row>
    <row r="44" spans="1:6" ht="102.75" customHeight="1">
      <c r="A44" s="203"/>
      <c r="B44" s="204"/>
      <c r="C44" s="108" t="s">
        <v>136</v>
      </c>
      <c r="D44" s="91">
        <v>1.1499999999999999</v>
      </c>
      <c r="E44" s="109" t="s">
        <v>137</v>
      </c>
      <c r="F44" s="210"/>
    </row>
    <row r="45" spans="1:6" ht="37.5" customHeight="1">
      <c r="A45" s="201" t="s">
        <v>138</v>
      </c>
      <c r="B45" s="165" t="s">
        <v>139</v>
      </c>
      <c r="C45" s="205" t="s">
        <v>140</v>
      </c>
      <c r="D45" s="205"/>
      <c r="E45" s="206" t="s">
        <v>133</v>
      </c>
      <c r="F45" s="208">
        <f>D46*D47*D48*1000</f>
        <v>1609.9999999999998</v>
      </c>
    </row>
    <row r="46" spans="1:6" ht="49.5" customHeight="1">
      <c r="A46" s="202"/>
      <c r="B46" s="166"/>
      <c r="C46" s="106" t="s">
        <v>141</v>
      </c>
      <c r="D46" s="107">
        <v>1.4</v>
      </c>
      <c r="E46" s="207"/>
      <c r="F46" s="209"/>
    </row>
    <row r="47" spans="1:6" ht="30.75" customHeight="1">
      <c r="A47" s="202"/>
      <c r="B47" s="166"/>
      <c r="C47" s="106" t="s">
        <v>135</v>
      </c>
      <c r="D47" s="107">
        <v>1</v>
      </c>
      <c r="E47" s="207"/>
      <c r="F47" s="209"/>
    </row>
    <row r="48" spans="1:6" ht="102.75" customHeight="1">
      <c r="A48" s="203"/>
      <c r="B48" s="204"/>
      <c r="C48" s="108" t="s">
        <v>136</v>
      </c>
      <c r="D48" s="91">
        <v>1.1499999999999999</v>
      </c>
      <c r="E48" s="109" t="s">
        <v>142</v>
      </c>
      <c r="F48" s="210"/>
    </row>
    <row r="49" spans="1:13" ht="30" customHeight="1">
      <c r="A49" s="201" t="s">
        <v>143</v>
      </c>
      <c r="B49" s="165" t="s">
        <v>144</v>
      </c>
      <c r="C49" s="211" t="s">
        <v>145</v>
      </c>
      <c r="D49" s="212"/>
      <c r="E49" s="191" t="s">
        <v>146</v>
      </c>
      <c r="F49" s="193">
        <f>D50*D51*D52*1000</f>
        <v>4024.9999999999995</v>
      </c>
    </row>
    <row r="50" spans="1:13" ht="42" customHeight="1">
      <c r="A50" s="202"/>
      <c r="B50" s="166"/>
      <c r="C50" s="99" t="s">
        <v>147</v>
      </c>
      <c r="D50" s="100">
        <v>3.5</v>
      </c>
      <c r="E50" s="192"/>
      <c r="F50" s="194"/>
    </row>
    <row r="51" spans="1:13" ht="42.75" customHeight="1">
      <c r="A51" s="202"/>
      <c r="B51" s="166"/>
      <c r="C51" s="99" t="s">
        <v>135</v>
      </c>
      <c r="D51" s="100">
        <v>1</v>
      </c>
      <c r="E51" s="192"/>
      <c r="F51" s="194"/>
    </row>
    <row r="52" spans="1:13" ht="92.25" customHeight="1">
      <c r="A52" s="203"/>
      <c r="B52" s="204"/>
      <c r="C52" s="99" t="s">
        <v>136</v>
      </c>
      <c r="D52" s="100">
        <v>1.1499999999999999</v>
      </c>
      <c r="E52" s="213"/>
      <c r="F52" s="210"/>
    </row>
    <row r="53" spans="1:13" ht="30" customHeight="1">
      <c r="A53" s="201" t="s">
        <v>148</v>
      </c>
      <c r="B53" s="165" t="s">
        <v>149</v>
      </c>
      <c r="C53" s="211" t="s">
        <v>150</v>
      </c>
      <c r="D53" s="212"/>
      <c r="E53" s="191" t="s">
        <v>151</v>
      </c>
      <c r="F53" s="193">
        <f>D54*D55*D56*1000</f>
        <v>663.31079999999986</v>
      </c>
    </row>
    <row r="54" spans="1:13" ht="42" customHeight="1">
      <c r="A54" s="202"/>
      <c r="B54" s="166"/>
      <c r="C54" s="99" t="s">
        <v>152</v>
      </c>
      <c r="D54" s="100">
        <v>1.2</v>
      </c>
      <c r="E54" s="192"/>
      <c r="F54" s="194"/>
    </row>
    <row r="55" spans="1:13" ht="42.75" customHeight="1">
      <c r="A55" s="202"/>
      <c r="B55" s="166"/>
      <c r="C55" s="99" t="s">
        <v>153</v>
      </c>
      <c r="D55" s="100">
        <v>0.48065999999999998</v>
      </c>
      <c r="E55" s="192"/>
      <c r="F55" s="194"/>
    </row>
    <row r="56" spans="1:13" ht="92.25" customHeight="1" thickBot="1">
      <c r="A56" s="202"/>
      <c r="B56" s="166"/>
      <c r="C56" s="110" t="s">
        <v>136</v>
      </c>
      <c r="D56" s="111">
        <v>1.1499999999999999</v>
      </c>
      <c r="E56" s="101"/>
      <c r="F56" s="194"/>
    </row>
    <row r="57" spans="1:13" ht="15" thickBot="1">
      <c r="A57" s="104"/>
      <c r="B57" s="195" t="s">
        <v>154</v>
      </c>
      <c r="C57" s="196"/>
      <c r="D57" s="197"/>
      <c r="E57" s="112"/>
      <c r="F57" s="105">
        <f>ROUND(SUM(F41:F56),2)</f>
        <v>9173.31</v>
      </c>
    </row>
    <row r="58" spans="1:13" ht="15" thickBot="1">
      <c r="A58" s="113"/>
      <c r="B58" s="215" t="s">
        <v>155</v>
      </c>
      <c r="C58" s="216"/>
      <c r="D58" s="216"/>
      <c r="E58" s="217"/>
      <c r="F58" s="114">
        <f>F26+F39+F57</f>
        <v>47743.339832199999</v>
      </c>
    </row>
    <row r="59" spans="1:13" ht="44.25" customHeight="1">
      <c r="A59" s="115"/>
      <c r="B59" s="218" t="s">
        <v>61</v>
      </c>
      <c r="C59" s="219"/>
      <c r="D59" s="220"/>
      <c r="E59" s="116">
        <v>6.1</v>
      </c>
      <c r="F59" s="117">
        <f>F58*E59</f>
        <v>291234.37297641998</v>
      </c>
    </row>
    <row r="60" spans="1:13" ht="44.25" customHeight="1">
      <c r="A60" s="118"/>
      <c r="B60" s="221" t="s">
        <v>156</v>
      </c>
      <c r="C60" s="222"/>
      <c r="D60" s="223"/>
      <c r="E60" s="119">
        <v>1.4</v>
      </c>
      <c r="F60" s="120">
        <f>F59*E60</f>
        <v>407728.12216698797</v>
      </c>
    </row>
    <row r="61" spans="1:13" ht="35.25" customHeight="1" thickBot="1">
      <c r="A61" s="121"/>
      <c r="B61" s="224" t="s">
        <v>157</v>
      </c>
      <c r="C61" s="225"/>
      <c r="D61" s="226"/>
      <c r="E61" s="122"/>
      <c r="F61" s="123">
        <f>F60</f>
        <v>407728.12216698797</v>
      </c>
    </row>
    <row r="62" spans="1:13" ht="1.2" customHeight="1">
      <c r="A62" s="124"/>
      <c r="B62" s="227"/>
      <c r="C62" s="227"/>
      <c r="D62" s="227"/>
      <c r="E62" s="227"/>
      <c r="F62" s="227"/>
      <c r="G62" s="125"/>
    </row>
    <row r="63" spans="1:13" customFormat="1" ht="35.25" customHeight="1">
      <c r="A63" s="126"/>
      <c r="B63" s="127" t="s">
        <v>158</v>
      </c>
      <c r="C63" s="128" t="s">
        <v>159</v>
      </c>
      <c r="D63" s="129"/>
      <c r="E63" s="129"/>
      <c r="F63" s="130"/>
      <c r="I63" s="126"/>
      <c r="J63" s="126"/>
      <c r="K63" s="126"/>
      <c r="L63" s="126"/>
      <c r="M63" s="126"/>
    </row>
    <row r="64" spans="1:13" customFormat="1" ht="38.25" customHeight="1">
      <c r="A64" s="131"/>
      <c r="B64" s="132" t="s">
        <v>160</v>
      </c>
      <c r="C64" s="133"/>
      <c r="D64" s="129"/>
      <c r="E64" s="134"/>
      <c r="F64" s="129"/>
    </row>
    <row r="65" spans="1:7" ht="33.75" customHeight="1">
      <c r="A65" s="124"/>
      <c r="B65" s="228"/>
      <c r="C65" s="228"/>
      <c r="D65" s="228"/>
      <c r="E65" s="228"/>
      <c r="F65" s="228"/>
      <c r="G65" s="135"/>
    </row>
    <row r="66" spans="1:7" ht="33.75" customHeight="1">
      <c r="A66" s="124"/>
      <c r="B66" s="214"/>
      <c r="C66" s="214"/>
      <c r="D66" s="214"/>
      <c r="E66" s="214"/>
      <c r="F66" s="214"/>
      <c r="G66" s="136"/>
    </row>
    <row r="67" spans="1:7" ht="23.25" customHeight="1">
      <c r="A67" s="124"/>
      <c r="B67" s="137"/>
      <c r="D67" s="139"/>
      <c r="E67" s="139"/>
      <c r="F67" s="139"/>
      <c r="G67" s="139"/>
    </row>
    <row r="68" spans="1:7" s="143" customFormat="1">
      <c r="A68" s="81"/>
      <c r="B68" s="140"/>
      <c r="C68" s="141"/>
      <c r="D68" s="81"/>
      <c r="E68" s="81"/>
      <c r="F68" s="142"/>
    </row>
    <row r="69" spans="1:7">
      <c r="A69" s="81"/>
      <c r="C69" s="141"/>
    </row>
    <row r="70" spans="1:7">
      <c r="A70" s="144"/>
      <c r="B70" s="145"/>
      <c r="C70" s="146"/>
      <c r="D70" s="147"/>
      <c r="E70" s="147"/>
      <c r="F70" s="148"/>
    </row>
  </sheetData>
  <mergeCells count="53">
    <mergeCell ref="B57:D57"/>
    <mergeCell ref="B66:F66"/>
    <mergeCell ref="B58:E58"/>
    <mergeCell ref="B59:D59"/>
    <mergeCell ref="B60:D60"/>
    <mergeCell ref="B61:D61"/>
    <mergeCell ref="B62:F62"/>
    <mergeCell ref="B65:F65"/>
    <mergeCell ref="A53:A56"/>
    <mergeCell ref="B53:B56"/>
    <mergeCell ref="C53:D53"/>
    <mergeCell ref="E53:E55"/>
    <mergeCell ref="F53:F56"/>
    <mergeCell ref="F45:F48"/>
    <mergeCell ref="A49:A52"/>
    <mergeCell ref="B49:B52"/>
    <mergeCell ref="C49:D49"/>
    <mergeCell ref="E49:E52"/>
    <mergeCell ref="F49:F52"/>
    <mergeCell ref="A45:A48"/>
    <mergeCell ref="B45:B48"/>
    <mergeCell ref="C45:D45"/>
    <mergeCell ref="E45:E47"/>
    <mergeCell ref="B39:E39"/>
    <mergeCell ref="A40:F40"/>
    <mergeCell ref="A41:A44"/>
    <mergeCell ref="B41:B44"/>
    <mergeCell ref="C41:D41"/>
    <mergeCell ref="E41:E43"/>
    <mergeCell ref="F41:F44"/>
    <mergeCell ref="B26:E26"/>
    <mergeCell ref="A27:F27"/>
    <mergeCell ref="A28:A38"/>
    <mergeCell ref="B28:B38"/>
    <mergeCell ref="C28:D28"/>
    <mergeCell ref="E28:E32"/>
    <mergeCell ref="F28:F38"/>
    <mergeCell ref="B6:F6"/>
    <mergeCell ref="B7:F7"/>
    <mergeCell ref="B8:E8"/>
    <mergeCell ref="B12:E12"/>
    <mergeCell ref="A13:F13"/>
    <mergeCell ref="A14:A25"/>
    <mergeCell ref="B14:B25"/>
    <mergeCell ref="C14:D14"/>
    <mergeCell ref="E14:E25"/>
    <mergeCell ref="F14:F25"/>
    <mergeCell ref="B5:F5"/>
    <mergeCell ref="E1:F1"/>
    <mergeCell ref="B2:C2"/>
    <mergeCell ref="E2:F2"/>
    <mergeCell ref="B3:C3"/>
    <mergeCell ref="E3:F3"/>
  </mergeCells>
  <pageMargins left="0.47244094488188981" right="0.31496062992125984" top="0.59055118110236227" bottom="0.59055118110236227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80"/>
  <sheetViews>
    <sheetView showGridLines="0" view="pageBreakPreview" topLeftCell="B1" zoomScale="126" zoomScaleNormal="100" zoomScaleSheetLayoutView="126" workbookViewId="0">
      <selection activeCell="B8" sqref="B8:F8"/>
    </sheetView>
  </sheetViews>
  <sheetFormatPr defaultColWidth="8.88671875" defaultRowHeight="13.8" outlineLevelRow="1"/>
  <cols>
    <col min="1" max="1" width="5.5546875" style="2" customWidth="1"/>
    <col min="2" max="2" width="3.44140625" style="2" customWidth="1"/>
    <col min="3" max="3" width="34" style="2" customWidth="1"/>
    <col min="4" max="4" width="36.6640625" style="2" customWidth="1"/>
    <col min="5" max="5" width="30.44140625" style="2" customWidth="1"/>
    <col min="6" max="6" width="13.109375" style="2" customWidth="1"/>
    <col min="7" max="10" width="8.88671875" style="2"/>
    <col min="11" max="11" width="16" style="2" customWidth="1"/>
    <col min="12" max="16384" width="8.88671875" style="2"/>
  </cols>
  <sheetData>
    <row r="1" spans="2:22" ht="15.6">
      <c r="B1" s="249"/>
      <c r="C1" s="249"/>
      <c r="D1" s="11"/>
      <c r="E1" s="249" t="s">
        <v>8</v>
      </c>
      <c r="F1" s="249"/>
      <c r="G1" s="12"/>
      <c r="I1" s="12"/>
      <c r="J1" s="12"/>
      <c r="K1" s="11"/>
      <c r="L1" s="11"/>
      <c r="M1" s="11"/>
      <c r="N1" s="11"/>
      <c r="O1" s="11"/>
      <c r="P1" s="11"/>
      <c r="Q1" s="11"/>
      <c r="R1" s="11"/>
      <c r="S1" s="13"/>
      <c r="T1" s="11"/>
      <c r="U1" s="11"/>
      <c r="V1" s="11"/>
    </row>
    <row r="2" spans="2:22" ht="15.6">
      <c r="B2" s="10"/>
      <c r="C2" s="10"/>
      <c r="D2" s="11"/>
      <c r="E2" s="253" t="s">
        <v>166</v>
      </c>
      <c r="F2" s="254"/>
      <c r="G2" s="12"/>
      <c r="I2" s="12"/>
      <c r="J2" s="12"/>
      <c r="K2" s="11"/>
      <c r="L2" s="11"/>
      <c r="M2" s="11"/>
      <c r="N2" s="11"/>
      <c r="O2" s="11"/>
      <c r="P2" s="11"/>
      <c r="Q2" s="11"/>
      <c r="R2" s="11"/>
      <c r="S2" s="13"/>
      <c r="T2" s="11"/>
      <c r="U2" s="11"/>
      <c r="V2" s="11"/>
    </row>
    <row r="3" spans="2:22" ht="18.75" customHeight="1">
      <c r="B3" s="158"/>
      <c r="C3" s="158"/>
      <c r="D3" s="11"/>
      <c r="E3" s="254"/>
      <c r="F3" s="254"/>
      <c r="G3" s="12"/>
      <c r="I3" s="12"/>
      <c r="J3" s="12"/>
      <c r="K3" s="11"/>
      <c r="L3" s="11"/>
      <c r="M3" s="11"/>
      <c r="N3" s="11"/>
      <c r="O3" s="11"/>
      <c r="P3" s="11"/>
      <c r="Q3" s="11"/>
      <c r="R3" s="11"/>
      <c r="S3" s="13"/>
      <c r="T3" s="11"/>
      <c r="U3" s="11"/>
      <c r="V3" s="11"/>
    </row>
    <row r="4" spans="2:22" ht="15.6">
      <c r="B4" s="160"/>
      <c r="C4" s="160"/>
      <c r="D4" s="11"/>
      <c r="E4" s="250" t="s">
        <v>168</v>
      </c>
      <c r="F4" s="250"/>
      <c r="G4" s="12"/>
      <c r="I4" s="12"/>
      <c r="J4" s="12"/>
      <c r="K4" s="11"/>
      <c r="L4" s="11"/>
      <c r="M4" s="11"/>
      <c r="N4" s="11"/>
      <c r="O4" s="11"/>
      <c r="P4" s="11"/>
      <c r="Q4" s="11"/>
      <c r="R4" s="11"/>
      <c r="S4" s="13"/>
      <c r="T4" s="11"/>
      <c r="U4" s="11"/>
      <c r="V4" s="11"/>
    </row>
    <row r="5" spans="2:22" ht="18" customHeight="1">
      <c r="B5" s="5"/>
      <c r="C5" s="5"/>
      <c r="D5" s="6"/>
      <c r="E5" s="6"/>
      <c r="F5" s="6"/>
    </row>
    <row r="6" spans="2:22">
      <c r="B6" s="156" t="s">
        <v>17</v>
      </c>
      <c r="C6" s="156"/>
      <c r="D6" s="156"/>
      <c r="E6" s="156"/>
      <c r="F6" s="156"/>
    </row>
    <row r="7" spans="2:22">
      <c r="B7" s="174"/>
      <c r="C7" s="174"/>
      <c r="D7" s="174"/>
      <c r="E7" s="174"/>
      <c r="F7" s="174"/>
    </row>
    <row r="8" spans="2:22" ht="15" customHeight="1">
      <c r="B8" s="175" t="s">
        <v>170</v>
      </c>
      <c r="C8" s="175"/>
      <c r="D8" s="175"/>
      <c r="E8" s="175"/>
      <c r="F8" s="175"/>
    </row>
    <row r="9" spans="2:22" ht="13.8" customHeight="1">
      <c r="B9" s="176"/>
      <c r="C9" s="176"/>
      <c r="D9" s="176"/>
      <c r="E9" s="176"/>
      <c r="F9" s="3"/>
    </row>
    <row r="10" spans="2:22">
      <c r="C10" s="5"/>
      <c r="D10" s="5"/>
      <c r="E10" s="5"/>
      <c r="F10" s="5"/>
    </row>
    <row r="11" spans="2:22" ht="15" customHeight="1" outlineLevel="1">
      <c r="B11" s="4" t="s">
        <v>67</v>
      </c>
      <c r="C11" s="5"/>
      <c r="D11" s="5"/>
      <c r="E11" s="5"/>
      <c r="F11" s="5"/>
    </row>
    <row r="12" spans="2:22">
      <c r="B12" s="1"/>
      <c r="C12" s="1"/>
      <c r="D12" s="14"/>
      <c r="E12" s="14"/>
      <c r="F12" s="15"/>
    </row>
    <row r="13" spans="2:22" ht="101.25" customHeight="1">
      <c r="B13" s="31" t="s">
        <v>0</v>
      </c>
      <c r="C13" s="32" t="s">
        <v>1</v>
      </c>
      <c r="D13" s="32" t="s">
        <v>3</v>
      </c>
      <c r="E13" s="33" t="s">
        <v>12</v>
      </c>
      <c r="F13" s="33" t="s">
        <v>11</v>
      </c>
    </row>
    <row r="14" spans="2:22">
      <c r="B14" s="29">
        <v>1</v>
      </c>
      <c r="C14" s="30">
        <v>2</v>
      </c>
      <c r="D14" s="30">
        <v>3</v>
      </c>
      <c r="E14" s="29">
        <v>4</v>
      </c>
      <c r="F14" s="29">
        <v>5</v>
      </c>
    </row>
    <row r="15" spans="2:22">
      <c r="B15" s="251" t="s">
        <v>4</v>
      </c>
      <c r="C15" s="252"/>
      <c r="D15" s="252"/>
      <c r="E15" s="252"/>
      <c r="F15" s="252"/>
    </row>
    <row r="16" spans="2:22" ht="92.25" customHeight="1">
      <c r="B16" s="25">
        <v>1</v>
      </c>
      <c r="C16" s="246" t="s">
        <v>10</v>
      </c>
      <c r="D16" s="27" t="s">
        <v>13</v>
      </c>
      <c r="E16" s="20" t="s">
        <v>66</v>
      </c>
      <c r="F16" s="68">
        <f>(155490+210090*0.36)*1.2*0.6</f>
        <v>166408.128</v>
      </c>
    </row>
    <row r="17" spans="2:6" ht="12.75" hidden="1" customHeight="1">
      <c r="B17" s="7"/>
      <c r="C17" s="247"/>
      <c r="D17" s="18"/>
      <c r="E17" s="9"/>
      <c r="F17" s="69"/>
    </row>
    <row r="18" spans="2:6" ht="12.75" hidden="1" customHeight="1">
      <c r="B18" s="7"/>
      <c r="C18" s="247"/>
      <c r="D18" s="18"/>
      <c r="E18" s="9"/>
      <c r="F18" s="69"/>
    </row>
    <row r="19" spans="2:6" ht="12.75" hidden="1" customHeight="1">
      <c r="B19" s="7"/>
      <c r="C19" s="247"/>
      <c r="D19" s="18"/>
      <c r="E19" s="9"/>
      <c r="F19" s="69"/>
    </row>
    <row r="20" spans="2:6" ht="3" hidden="1" customHeight="1">
      <c r="B20" s="7"/>
      <c r="C20" s="248"/>
      <c r="D20" s="19"/>
      <c r="E20" s="9"/>
      <c r="F20" s="70"/>
    </row>
    <row r="21" spans="2:6" ht="1.5" hidden="1" customHeight="1">
      <c r="B21" s="22"/>
      <c r="C21" s="233"/>
      <c r="D21" s="234"/>
      <c r="E21" s="28"/>
      <c r="F21" s="71"/>
    </row>
    <row r="22" spans="2:6" ht="0.75" hidden="1" customHeight="1">
      <c r="B22" s="22"/>
      <c r="C22" s="233"/>
      <c r="D22" s="234"/>
      <c r="E22" s="9"/>
      <c r="F22" s="70"/>
    </row>
    <row r="23" spans="2:6" ht="12.75" hidden="1" customHeight="1">
      <c r="B23" s="22"/>
      <c r="C23" s="233"/>
      <c r="D23" s="234"/>
      <c r="E23" s="9"/>
      <c r="F23" s="70"/>
    </row>
    <row r="24" spans="2:6" ht="12.75" hidden="1" customHeight="1">
      <c r="B24" s="22"/>
      <c r="C24" s="233"/>
      <c r="D24" s="234"/>
      <c r="E24" s="9"/>
      <c r="F24" s="70"/>
    </row>
    <row r="25" spans="2:6" ht="3.75" hidden="1" customHeight="1">
      <c r="B25" s="22"/>
      <c r="C25" s="233"/>
      <c r="D25" s="235"/>
      <c r="E25" s="9"/>
      <c r="F25" s="70"/>
    </row>
    <row r="26" spans="2:6" hidden="1">
      <c r="B26" s="22"/>
      <c r="C26" s="233"/>
      <c r="D26" s="8"/>
      <c r="E26" s="9"/>
      <c r="F26" s="70"/>
    </row>
    <row r="27" spans="2:6" hidden="1">
      <c r="B27" s="22"/>
      <c r="C27" s="233"/>
      <c r="D27" s="8"/>
      <c r="E27" s="9"/>
      <c r="F27" s="70"/>
    </row>
    <row r="28" spans="2:6">
      <c r="B28" s="23"/>
      <c r="C28" s="239" t="s">
        <v>14</v>
      </c>
      <c r="D28" s="240"/>
      <c r="E28" s="241"/>
      <c r="F28" s="72"/>
    </row>
    <row r="29" spans="2:6" ht="14.4">
      <c r="B29" s="23"/>
      <c r="C29" s="242" t="s">
        <v>60</v>
      </c>
      <c r="D29" s="243"/>
      <c r="E29" s="243"/>
      <c r="F29" s="73">
        <f>F16</f>
        <v>166408.128</v>
      </c>
    </row>
    <row r="30" spans="2:6" ht="31.5" customHeight="1">
      <c r="B30" s="23"/>
      <c r="C30" s="236" t="s">
        <v>61</v>
      </c>
      <c r="D30" s="237"/>
      <c r="E30" s="238"/>
      <c r="F30" s="73">
        <f>F29*6.1</f>
        <v>1015089.5807999999</v>
      </c>
    </row>
    <row r="31" spans="2:6" ht="14.4">
      <c r="B31" s="23"/>
      <c r="C31" s="244" t="s">
        <v>15</v>
      </c>
      <c r="D31" s="245"/>
      <c r="E31" s="245"/>
      <c r="F31" s="72"/>
    </row>
    <row r="32" spans="2:6" ht="14.4">
      <c r="B32" s="23"/>
      <c r="C32" s="242" t="s">
        <v>60</v>
      </c>
      <c r="D32" s="243"/>
      <c r="E32" s="243"/>
      <c r="F32" s="73">
        <f>F29</f>
        <v>166408.128</v>
      </c>
    </row>
    <row r="33" spans="2:6" ht="31.5" customHeight="1">
      <c r="B33" s="25">
        <v>2</v>
      </c>
      <c r="C33" s="236" t="s">
        <v>61</v>
      </c>
      <c r="D33" s="237"/>
      <c r="E33" s="238"/>
      <c r="F33" s="73">
        <f>F32*6.1</f>
        <v>1015089.5807999999</v>
      </c>
    </row>
    <row r="34" spans="2:6" ht="31.5" customHeight="1">
      <c r="B34" s="26">
        <v>3</v>
      </c>
      <c r="C34" s="236" t="s">
        <v>62</v>
      </c>
      <c r="D34" s="237"/>
      <c r="E34" s="238"/>
      <c r="F34" s="73">
        <f>F33* (0.3161 + 0.6839 * 1.4)</f>
        <v>1292777.4865236476</v>
      </c>
    </row>
    <row r="35" spans="2:6" ht="16.5" customHeight="1">
      <c r="B35" s="26">
        <v>4</v>
      </c>
      <c r="C35" s="229" t="s">
        <v>16</v>
      </c>
      <c r="D35" s="230"/>
      <c r="E35" s="230"/>
      <c r="F35" s="72">
        <f>F34</f>
        <v>1292777.4865236476</v>
      </c>
    </row>
    <row r="36" spans="2:6" ht="16.5" customHeight="1">
      <c r="B36" s="16"/>
      <c r="C36" s="34"/>
      <c r="D36" s="34"/>
      <c r="E36" s="34"/>
      <c r="F36" s="24"/>
    </row>
    <row r="37" spans="2:6" ht="12.75" customHeight="1">
      <c r="B37" s="231" t="s">
        <v>57</v>
      </c>
      <c r="C37" s="231"/>
      <c r="D37" s="67" t="s">
        <v>58</v>
      </c>
      <c r="E37" s="56"/>
      <c r="F37" s="56"/>
    </row>
    <row r="38" spans="2:6" ht="12.75" customHeight="1">
      <c r="B38" s="38"/>
      <c r="C38" s="232" t="s">
        <v>49</v>
      </c>
      <c r="D38" s="232"/>
      <c r="E38" s="232"/>
      <c r="F38" s="232"/>
    </row>
    <row r="39" spans="2:6" ht="24.75" customHeight="1"/>
    <row r="40" spans="2:6" ht="12.75" customHeight="1"/>
    <row r="41" spans="2:6" ht="12.75" customHeight="1"/>
    <row r="42" spans="2:6" ht="12.75" customHeight="1"/>
    <row r="43" spans="2:6" ht="43.2" customHeight="1"/>
    <row r="44" spans="2:6" ht="12.75" customHeight="1"/>
    <row r="45" spans="2:6" ht="12.75" customHeight="1"/>
    <row r="46" spans="2:6" ht="12.75" customHeight="1"/>
    <row r="47" spans="2:6" ht="12.75" customHeight="1"/>
    <row r="48" spans="2:6" ht="12.75" customHeight="1"/>
    <row r="49" ht="42.6" customHeight="1"/>
    <row r="50" ht="12.75" customHeight="1"/>
    <row r="51" ht="12.75" customHeight="1"/>
    <row r="52" ht="12.75" customHeight="1"/>
    <row r="53" ht="12.75" customHeight="1"/>
    <row r="54" ht="57" customHeight="1"/>
    <row r="55" ht="12.75" customHeight="1"/>
    <row r="56" ht="12.75" customHeight="1"/>
    <row r="57" ht="12.75" customHeight="1"/>
    <row r="58" ht="40.950000000000003" customHeight="1"/>
    <row r="59" ht="12.75" customHeight="1"/>
    <row r="60" ht="12.75" customHeight="1"/>
    <row r="61" ht="12.75" customHeight="1"/>
    <row r="63" ht="12.75" customHeight="1"/>
    <row r="64" ht="12.75" customHeight="1"/>
    <row r="65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4" ht="93" customHeight="1"/>
    <row r="75" ht="16.5" customHeight="1"/>
    <row r="80" ht="96.6" customHeight="1"/>
  </sheetData>
  <mergeCells count="24">
    <mergeCell ref="C16:C20"/>
    <mergeCell ref="B1:C1"/>
    <mergeCell ref="E1:F1"/>
    <mergeCell ref="B3:C3"/>
    <mergeCell ref="B4:C4"/>
    <mergeCell ref="E4:F4"/>
    <mergeCell ref="B6:F6"/>
    <mergeCell ref="B7:F7"/>
    <mergeCell ref="B8:F8"/>
    <mergeCell ref="B9:E9"/>
    <mergeCell ref="B15:F15"/>
    <mergeCell ref="E2:F3"/>
    <mergeCell ref="C35:E35"/>
    <mergeCell ref="B37:C37"/>
    <mergeCell ref="C38:F38"/>
    <mergeCell ref="C21:C27"/>
    <mergeCell ref="D21:D25"/>
    <mergeCell ref="C33:E33"/>
    <mergeCell ref="C30:E30"/>
    <mergeCell ref="C28:E28"/>
    <mergeCell ref="C29:E29"/>
    <mergeCell ref="C32:E32"/>
    <mergeCell ref="C31:E31"/>
    <mergeCell ref="C34:E34"/>
  </mergeCells>
  <pageMargins left="0.62992125984251968" right="0.23622047244094491" top="0.39370078740157483" bottom="0.3937007874015748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9"/>
  <sheetViews>
    <sheetView showGridLines="0" topLeftCell="A23" workbookViewId="0">
      <selection activeCell="E25" sqref="E25"/>
    </sheetView>
  </sheetViews>
  <sheetFormatPr defaultColWidth="8.88671875" defaultRowHeight="13.8" outlineLevelRow="1"/>
  <cols>
    <col min="1" max="1" width="5.5546875" style="2" customWidth="1"/>
    <col min="2" max="2" width="3.44140625" style="2" customWidth="1"/>
    <col min="3" max="3" width="34" style="2" customWidth="1"/>
    <col min="4" max="4" width="36.6640625" style="2" customWidth="1"/>
    <col min="5" max="5" width="30.44140625" style="2" customWidth="1"/>
    <col min="6" max="6" width="13.109375" style="2" customWidth="1"/>
    <col min="7" max="10" width="8.88671875" style="2"/>
    <col min="11" max="11" width="16" style="2" customWidth="1"/>
    <col min="12" max="16384" width="8.88671875" style="2"/>
  </cols>
  <sheetData>
    <row r="1" spans="2:22" ht="15.6">
      <c r="B1" s="249" t="s">
        <v>6</v>
      </c>
      <c r="C1" s="249"/>
      <c r="D1" s="11"/>
      <c r="E1" s="249" t="s">
        <v>8</v>
      </c>
      <c r="F1" s="249"/>
      <c r="G1" s="12"/>
      <c r="I1" s="12"/>
      <c r="J1" s="12"/>
      <c r="K1" s="11"/>
      <c r="L1" s="11"/>
      <c r="M1" s="11"/>
      <c r="N1" s="11"/>
      <c r="O1" s="11"/>
      <c r="P1" s="11"/>
      <c r="Q1" s="11"/>
      <c r="R1" s="11"/>
      <c r="S1" s="13"/>
      <c r="T1" s="11"/>
      <c r="U1" s="11"/>
      <c r="V1" s="11"/>
    </row>
    <row r="2" spans="2:22" ht="15.6">
      <c r="B2" s="10"/>
      <c r="C2" s="10"/>
      <c r="D2" s="11"/>
      <c r="E2" s="17"/>
      <c r="F2" s="10"/>
      <c r="G2" s="12"/>
      <c r="I2" s="12"/>
      <c r="J2" s="12"/>
      <c r="K2" s="11"/>
      <c r="L2" s="11"/>
      <c r="M2" s="11"/>
      <c r="N2" s="11"/>
      <c r="O2" s="11"/>
      <c r="P2" s="11"/>
      <c r="Q2" s="11"/>
      <c r="R2" s="11"/>
      <c r="S2" s="13"/>
      <c r="T2" s="11"/>
      <c r="U2" s="11"/>
      <c r="V2" s="11"/>
    </row>
    <row r="3" spans="2:22" ht="18.75" customHeight="1">
      <c r="B3" s="158" t="s">
        <v>7</v>
      </c>
      <c r="C3" s="158"/>
      <c r="D3" s="11"/>
      <c r="E3" s="263" t="s">
        <v>7</v>
      </c>
      <c r="F3" s="263"/>
      <c r="G3" s="12"/>
      <c r="I3" s="12"/>
      <c r="J3" s="12"/>
      <c r="K3" s="11"/>
      <c r="L3" s="11"/>
      <c r="M3" s="11"/>
      <c r="N3" s="11"/>
      <c r="O3" s="11"/>
      <c r="P3" s="11"/>
      <c r="Q3" s="11"/>
      <c r="R3" s="11"/>
      <c r="S3" s="13"/>
      <c r="T3" s="11"/>
      <c r="U3" s="11"/>
      <c r="V3" s="11"/>
    </row>
    <row r="4" spans="2:22" ht="15.6">
      <c r="B4" s="160" t="s">
        <v>9</v>
      </c>
      <c r="C4" s="160"/>
      <c r="D4" s="11"/>
      <c r="E4" s="250" t="s">
        <v>9</v>
      </c>
      <c r="F4" s="250"/>
      <c r="G4" s="12"/>
      <c r="I4" s="12"/>
      <c r="J4" s="12"/>
      <c r="K4" s="11"/>
      <c r="L4" s="11"/>
      <c r="M4" s="11"/>
      <c r="N4" s="11"/>
      <c r="O4" s="11"/>
      <c r="P4" s="11"/>
      <c r="Q4" s="11"/>
      <c r="R4" s="11"/>
      <c r="S4" s="13"/>
      <c r="T4" s="11"/>
      <c r="U4" s="11"/>
      <c r="V4" s="11"/>
    </row>
    <row r="5" spans="2:22" ht="18" customHeight="1">
      <c r="B5" s="5"/>
      <c r="C5" s="5"/>
      <c r="D5" s="6"/>
      <c r="E5" s="6"/>
      <c r="F5" s="6"/>
    </row>
    <row r="6" spans="2:22">
      <c r="B6" s="156" t="s">
        <v>18</v>
      </c>
      <c r="C6" s="156"/>
      <c r="D6" s="156"/>
      <c r="E6" s="156"/>
      <c r="F6" s="156"/>
    </row>
    <row r="7" spans="2:22">
      <c r="B7" s="174" t="s">
        <v>5</v>
      </c>
      <c r="C7" s="174"/>
      <c r="D7" s="174"/>
      <c r="E7" s="174"/>
      <c r="F7" s="174"/>
    </row>
    <row r="8" spans="2:22" ht="27" customHeight="1">
      <c r="B8" s="175" t="s">
        <v>64</v>
      </c>
      <c r="C8" s="175"/>
      <c r="D8" s="175"/>
      <c r="E8" s="175"/>
      <c r="F8" s="175"/>
    </row>
    <row r="9" spans="2:22" ht="19.2" customHeight="1">
      <c r="B9" s="176" t="s">
        <v>2</v>
      </c>
      <c r="C9" s="176"/>
      <c r="D9" s="176"/>
      <c r="E9" s="176"/>
      <c r="F9" s="3"/>
    </row>
    <row r="10" spans="2:22">
      <c r="C10" s="5"/>
      <c r="D10" s="5"/>
      <c r="E10" s="5"/>
      <c r="F10" s="5"/>
    </row>
    <row r="11" spans="2:22" ht="15" customHeight="1" outlineLevel="1">
      <c r="B11" s="4" t="s">
        <v>65</v>
      </c>
      <c r="C11" s="5"/>
      <c r="D11" s="5"/>
      <c r="E11" s="5"/>
      <c r="F11" s="5"/>
    </row>
    <row r="12" spans="2:22">
      <c r="B12" s="1"/>
      <c r="C12" s="1"/>
      <c r="D12" s="14"/>
      <c r="E12" s="14"/>
      <c r="F12" s="15"/>
    </row>
    <row r="13" spans="2:22" ht="101.25" customHeight="1">
      <c r="B13" s="31" t="s">
        <v>0</v>
      </c>
      <c r="C13" s="32" t="s">
        <v>1</v>
      </c>
      <c r="D13" s="32" t="s">
        <v>3</v>
      </c>
      <c r="E13" s="33" t="s">
        <v>12</v>
      </c>
      <c r="F13" s="33" t="s">
        <v>11</v>
      </c>
    </row>
    <row r="14" spans="2:22">
      <c r="B14" s="29">
        <v>1</v>
      </c>
      <c r="C14" s="30">
        <v>2</v>
      </c>
      <c r="D14" s="30">
        <v>3</v>
      </c>
      <c r="E14" s="29">
        <v>4</v>
      </c>
      <c r="F14" s="29">
        <v>5</v>
      </c>
    </row>
    <row r="15" spans="2:22">
      <c r="B15" s="251" t="s">
        <v>4</v>
      </c>
      <c r="C15" s="252"/>
      <c r="D15" s="252"/>
      <c r="E15" s="252"/>
      <c r="F15" s="252"/>
    </row>
    <row r="16" spans="2:22" ht="63" customHeight="1">
      <c r="B16" s="255">
        <v>1</v>
      </c>
      <c r="C16" s="246" t="s">
        <v>19</v>
      </c>
      <c r="D16" s="35" t="s">
        <v>20</v>
      </c>
      <c r="E16" s="36" t="s">
        <v>21</v>
      </c>
      <c r="F16" s="259" t="s">
        <v>22</v>
      </c>
    </row>
    <row r="17" spans="2:6" ht="34.200000000000003">
      <c r="B17" s="256"/>
      <c r="C17" s="247"/>
      <c r="D17" s="8" t="s">
        <v>23</v>
      </c>
      <c r="E17" s="9" t="s">
        <v>29</v>
      </c>
      <c r="F17" s="260"/>
    </row>
    <row r="18" spans="2:6" ht="22.8">
      <c r="B18" s="256"/>
      <c r="C18" s="247"/>
      <c r="D18" s="8" t="s">
        <v>25</v>
      </c>
      <c r="E18" s="9" t="s">
        <v>30</v>
      </c>
      <c r="F18" s="260"/>
    </row>
    <row r="19" spans="2:6" ht="45.6">
      <c r="B19" s="256"/>
      <c r="C19" s="247"/>
      <c r="D19" s="8" t="s">
        <v>26</v>
      </c>
      <c r="E19" s="9" t="s">
        <v>31</v>
      </c>
      <c r="F19" s="260"/>
    </row>
    <row r="20" spans="2:6" ht="45.75" customHeight="1">
      <c r="B20" s="256"/>
      <c r="C20" s="247"/>
      <c r="D20" s="8" t="s">
        <v>27</v>
      </c>
      <c r="E20" s="9" t="s">
        <v>33</v>
      </c>
      <c r="F20" s="261"/>
    </row>
    <row r="21" spans="2:6" ht="12.75" customHeight="1">
      <c r="B21" s="7"/>
      <c r="C21" s="247"/>
      <c r="D21" s="18"/>
      <c r="E21" s="9"/>
      <c r="F21" s="69"/>
    </row>
    <row r="22" spans="2:6" ht="12.75" customHeight="1">
      <c r="B22" s="7"/>
      <c r="C22" s="247"/>
      <c r="D22" s="18"/>
      <c r="E22" s="9"/>
      <c r="F22" s="69"/>
    </row>
    <row r="23" spans="2:6" ht="12.75" customHeight="1">
      <c r="B23" s="7"/>
      <c r="C23" s="247"/>
      <c r="D23" s="18"/>
      <c r="E23" s="9"/>
      <c r="F23" s="69"/>
    </row>
    <row r="24" spans="2:6" ht="12" customHeight="1">
      <c r="B24" s="7"/>
      <c r="C24" s="248"/>
      <c r="D24" s="19"/>
      <c r="E24" s="9"/>
      <c r="F24" s="70"/>
    </row>
    <row r="25" spans="2:6" ht="83.25" customHeight="1">
      <c r="B25" s="21">
        <v>2</v>
      </c>
      <c r="C25" s="242" t="s">
        <v>28</v>
      </c>
      <c r="D25" s="262" t="s">
        <v>37</v>
      </c>
      <c r="E25" s="37" t="s">
        <v>34</v>
      </c>
      <c r="F25" s="259">
        <v>754</v>
      </c>
    </row>
    <row r="26" spans="2:6" ht="1.5" customHeight="1">
      <c r="B26" s="22"/>
      <c r="C26" s="257"/>
      <c r="D26" s="234"/>
      <c r="E26" s="28" t="s">
        <v>35</v>
      </c>
      <c r="F26" s="260"/>
    </row>
    <row r="27" spans="2:6" ht="0.75" customHeight="1">
      <c r="B27" s="22"/>
      <c r="C27" s="257"/>
      <c r="D27" s="234"/>
      <c r="E27" s="9"/>
      <c r="F27" s="70"/>
    </row>
    <row r="28" spans="2:6" ht="12.75" customHeight="1">
      <c r="B28" s="22"/>
      <c r="C28" s="257"/>
      <c r="D28" s="234"/>
      <c r="E28" s="9"/>
      <c r="F28" s="70"/>
    </row>
    <row r="29" spans="2:6" ht="12.75" customHeight="1">
      <c r="B29" s="22"/>
      <c r="C29" s="257"/>
      <c r="D29" s="234"/>
      <c r="E29" s="9"/>
      <c r="F29" s="70"/>
    </row>
    <row r="30" spans="2:6" ht="3.75" customHeight="1">
      <c r="B30" s="22"/>
      <c r="C30" s="257"/>
      <c r="D30" s="235"/>
      <c r="E30" s="9"/>
      <c r="F30" s="70"/>
    </row>
    <row r="31" spans="2:6" ht="12.75" customHeight="1">
      <c r="B31" s="22"/>
      <c r="C31" s="257"/>
      <c r="D31" s="8"/>
      <c r="E31" s="9"/>
      <c r="F31" s="70"/>
    </row>
    <row r="32" spans="2:6" ht="7.5" customHeight="1">
      <c r="B32" s="22"/>
      <c r="C32" s="257"/>
      <c r="D32" s="8"/>
      <c r="E32" s="9"/>
      <c r="F32" s="70"/>
    </row>
    <row r="33" spans="1:8" ht="34.200000000000003">
      <c r="B33" s="22"/>
      <c r="C33" s="257"/>
      <c r="D33" s="8" t="s">
        <v>23</v>
      </c>
      <c r="E33" s="9" t="s">
        <v>29</v>
      </c>
      <c r="F33" s="70"/>
    </row>
    <row r="34" spans="1:8" ht="22.8">
      <c r="B34" s="22"/>
      <c r="C34" s="257"/>
      <c r="D34" s="8" t="s">
        <v>25</v>
      </c>
      <c r="E34" s="9" t="s">
        <v>30</v>
      </c>
      <c r="F34" s="70"/>
    </row>
    <row r="35" spans="1:8" ht="45.6">
      <c r="B35" s="22"/>
      <c r="C35" s="257"/>
      <c r="D35" s="8" t="s">
        <v>26</v>
      </c>
      <c r="E35" s="9" t="s">
        <v>31</v>
      </c>
      <c r="F35" s="70"/>
    </row>
    <row r="36" spans="1:8" ht="34.200000000000003">
      <c r="B36" s="22"/>
      <c r="C36" s="258"/>
      <c r="D36" s="8" t="s">
        <v>27</v>
      </c>
      <c r="E36" s="9" t="s">
        <v>32</v>
      </c>
      <c r="F36" s="70"/>
    </row>
    <row r="37" spans="1:8">
      <c r="B37" s="23"/>
      <c r="C37" s="239" t="s">
        <v>14</v>
      </c>
      <c r="D37" s="240"/>
      <c r="E37" s="241"/>
      <c r="F37" s="72"/>
    </row>
    <row r="38" spans="1:8" ht="14.4">
      <c r="B38" s="23"/>
      <c r="C38" s="242" t="s">
        <v>36</v>
      </c>
      <c r="D38" s="243"/>
      <c r="E38" s="243"/>
      <c r="F38" s="73">
        <f>1176+754</f>
        <v>1930</v>
      </c>
    </row>
    <row r="39" spans="1:8" ht="14.25" customHeight="1">
      <c r="B39" s="23"/>
      <c r="C39" s="242" t="s">
        <v>63</v>
      </c>
      <c r="D39" s="243"/>
      <c r="E39" s="243"/>
      <c r="F39" s="73">
        <f>F38*46.66</f>
        <v>90053.799999999988</v>
      </c>
    </row>
    <row r="40" spans="1:8">
      <c r="B40" s="23"/>
      <c r="C40" s="239" t="s">
        <v>14</v>
      </c>
      <c r="D40" s="240"/>
      <c r="E40" s="241"/>
      <c r="F40" s="72">
        <f>F39</f>
        <v>90053.799999999988</v>
      </c>
    </row>
    <row r="41" spans="1:8" ht="14.4">
      <c r="B41" s="23"/>
      <c r="C41" s="244" t="s">
        <v>15</v>
      </c>
      <c r="D41" s="245"/>
      <c r="E41" s="245"/>
      <c r="F41" s="72"/>
    </row>
    <row r="42" spans="1:8" ht="14.4">
      <c r="B42" s="23"/>
      <c r="C42" s="242" t="s">
        <v>60</v>
      </c>
      <c r="D42" s="243"/>
      <c r="E42" s="243"/>
      <c r="F42" s="73">
        <f>F39</f>
        <v>90053.799999999988</v>
      </c>
    </row>
    <row r="43" spans="1:8">
      <c r="B43" s="25">
        <v>2</v>
      </c>
      <c r="C43" s="236" t="s">
        <v>63</v>
      </c>
      <c r="D43" s="237"/>
      <c r="E43" s="238"/>
      <c r="F43" s="73">
        <f>F38*46.66</f>
        <v>90053.799999999988</v>
      </c>
    </row>
    <row r="44" spans="1:8" ht="31.5" customHeight="1">
      <c r="B44" s="26">
        <v>3</v>
      </c>
      <c r="C44" s="236" t="s">
        <v>62</v>
      </c>
      <c r="D44" s="237"/>
      <c r="E44" s="238"/>
      <c r="F44" s="73">
        <f>F43* (0.3161 + 0.6839 * 1.4)</f>
        <v>114688.91752799996</v>
      </c>
    </row>
    <row r="45" spans="1:8" ht="16.5" customHeight="1">
      <c r="B45" s="26">
        <v>4</v>
      </c>
      <c r="C45" s="229" t="s">
        <v>16</v>
      </c>
      <c r="D45" s="230"/>
      <c r="E45" s="230"/>
      <c r="F45" s="72">
        <f>F44</f>
        <v>114688.91752799996</v>
      </c>
    </row>
    <row r="46" spans="1:8" ht="12.75" customHeight="1">
      <c r="A46" s="59"/>
      <c r="B46" s="59"/>
      <c r="C46" s="59"/>
      <c r="D46" s="59"/>
      <c r="E46" s="59"/>
      <c r="F46" s="59"/>
      <c r="G46" s="59"/>
      <c r="H46" s="59"/>
    </row>
    <row r="47" spans="1:8" ht="12.75" customHeight="1">
      <c r="A47" s="56" t="s">
        <v>59</v>
      </c>
      <c r="B47" s="231" t="s">
        <v>57</v>
      </c>
      <c r="C47" s="231"/>
      <c r="D47" s="67" t="s">
        <v>58</v>
      </c>
      <c r="E47" s="56"/>
      <c r="F47" s="56"/>
      <c r="G47" s="56"/>
      <c r="H47" s="56"/>
    </row>
    <row r="48" spans="1:8" ht="24.75" customHeight="1">
      <c r="A48" s="38"/>
      <c r="B48" s="38"/>
      <c r="C48" s="232" t="s">
        <v>49</v>
      </c>
      <c r="D48" s="232"/>
      <c r="E48" s="232"/>
      <c r="F48" s="232"/>
      <c r="G48" s="45"/>
      <c r="H48" s="45"/>
    </row>
    <row r="49" spans="4:4" ht="12.75" customHeight="1"/>
    <row r="50" spans="4:4" ht="12.75" customHeight="1"/>
    <row r="51" spans="4:4" ht="12.75" customHeight="1"/>
    <row r="52" spans="4:4" ht="43.2" customHeight="1"/>
    <row r="53" spans="4:4" ht="12.75" customHeight="1"/>
    <row r="54" spans="4:4" ht="12.75" customHeight="1">
      <c r="D54" s="2" t="s">
        <v>24</v>
      </c>
    </row>
    <row r="55" spans="4:4" ht="12.75" customHeight="1"/>
    <row r="56" spans="4:4" ht="12.75" customHeight="1"/>
    <row r="57" spans="4:4" ht="12.75" customHeight="1"/>
    <row r="58" spans="4:4" ht="42.6" customHeight="1"/>
    <row r="59" spans="4:4" ht="12.75" customHeight="1"/>
    <row r="60" spans="4:4" ht="12.75" customHeight="1"/>
    <row r="61" spans="4:4" ht="12.75" customHeight="1"/>
    <row r="62" spans="4:4" ht="12.75" customHeight="1"/>
    <row r="63" spans="4:4" ht="57" customHeight="1"/>
    <row r="64" spans="4:4" ht="12.75" customHeight="1"/>
    <row r="65" ht="12.75" customHeight="1"/>
    <row r="66" ht="12.75" customHeight="1"/>
    <row r="67" ht="40.950000000000003" customHeight="1"/>
    <row r="68" ht="12.75" customHeight="1"/>
    <row r="69" ht="12.75" customHeight="1"/>
    <row r="70" ht="12.75" customHeight="1"/>
    <row r="72" ht="12.75" customHeight="1"/>
    <row r="73" ht="12.75" customHeight="1"/>
    <row r="74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3" ht="93" customHeight="1"/>
    <row r="84" ht="16.5" customHeight="1"/>
    <row r="89" ht="96.6" customHeight="1"/>
  </sheetData>
  <mergeCells count="28">
    <mergeCell ref="C45:E45"/>
    <mergeCell ref="B1:C1"/>
    <mergeCell ref="E1:F1"/>
    <mergeCell ref="B3:C3"/>
    <mergeCell ref="E3:F3"/>
    <mergeCell ref="B4:C4"/>
    <mergeCell ref="E4:F4"/>
    <mergeCell ref="B6:F6"/>
    <mergeCell ref="B7:F7"/>
    <mergeCell ref="B8:F8"/>
    <mergeCell ref="B9:E9"/>
    <mergeCell ref="B15:F15"/>
    <mergeCell ref="C48:F48"/>
    <mergeCell ref="B47:C47"/>
    <mergeCell ref="C16:C24"/>
    <mergeCell ref="B16:B20"/>
    <mergeCell ref="C25:C36"/>
    <mergeCell ref="F16:F20"/>
    <mergeCell ref="C39:E39"/>
    <mergeCell ref="C40:E40"/>
    <mergeCell ref="C41:E41"/>
    <mergeCell ref="C42:E42"/>
    <mergeCell ref="C43:E43"/>
    <mergeCell ref="C44:E44"/>
    <mergeCell ref="D25:D30"/>
    <mergeCell ref="F25:F26"/>
    <mergeCell ref="C37:E37"/>
    <mergeCell ref="C38:E38"/>
  </mergeCells>
  <pageMargins left="0.62992125984251968" right="0.23622047244094491" top="0.39370078740157483" bottom="0.3937007874015748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view="pageBreakPreview" zoomScale="126" zoomScaleNormal="100" zoomScaleSheetLayoutView="126" workbookViewId="0">
      <selection activeCell="B6" sqref="B6:F6"/>
    </sheetView>
  </sheetViews>
  <sheetFormatPr defaultRowHeight="14.4"/>
  <cols>
    <col min="1" max="4" width="21.33203125" customWidth="1"/>
    <col min="5" max="5" width="18.33203125" customWidth="1"/>
    <col min="6" max="6" width="17.6640625" customWidth="1"/>
    <col min="7" max="7" width="27.33203125" customWidth="1"/>
  </cols>
  <sheetData>
    <row r="1" spans="1:7" ht="15.6">
      <c r="F1" s="157" t="s">
        <v>95</v>
      </c>
      <c r="G1" s="157"/>
    </row>
    <row r="2" spans="1:7" ht="48" customHeight="1">
      <c r="F2" s="159" t="s">
        <v>167</v>
      </c>
      <c r="G2" s="159"/>
    </row>
    <row r="3" spans="1:7" ht="15.75" customHeight="1">
      <c r="F3" s="250" t="s">
        <v>169</v>
      </c>
      <c r="G3" s="250"/>
    </row>
    <row r="5" spans="1:7">
      <c r="B5" s="156" t="s">
        <v>165</v>
      </c>
      <c r="C5" s="156"/>
      <c r="D5" s="156"/>
      <c r="E5" s="156"/>
      <c r="F5" s="156"/>
    </row>
    <row r="6" spans="1:7">
      <c r="B6" s="174" t="s">
        <v>170</v>
      </c>
      <c r="C6" s="174"/>
      <c r="D6" s="174"/>
      <c r="E6" s="174"/>
      <c r="F6" s="174"/>
    </row>
    <row r="7" spans="1:7" ht="15" customHeight="1">
      <c r="B7" s="175"/>
      <c r="C7" s="175"/>
      <c r="D7" s="175"/>
      <c r="E7" s="175"/>
      <c r="F7" s="175"/>
    </row>
    <row r="9" spans="1:7">
      <c r="A9" s="4" t="s">
        <v>164</v>
      </c>
      <c r="B9" s="5"/>
    </row>
    <row r="10" spans="1:7" ht="58.5" customHeight="1">
      <c r="A10" s="269" t="s">
        <v>68</v>
      </c>
      <c r="B10" s="269"/>
      <c r="C10" s="269"/>
      <c r="D10" s="269"/>
      <c r="E10" s="269"/>
      <c r="F10" s="269"/>
      <c r="G10" s="265"/>
    </row>
    <row r="11" spans="1:7" ht="27.75" customHeight="1">
      <c r="A11" s="269" t="s">
        <v>72</v>
      </c>
      <c r="B11" s="268"/>
      <c r="C11" s="268"/>
      <c r="D11" s="268"/>
      <c r="E11" s="268"/>
      <c r="F11" s="268"/>
      <c r="G11" s="266"/>
    </row>
    <row r="12" spans="1:7" ht="97.5" customHeight="1">
      <c r="A12" s="75" t="s">
        <v>69</v>
      </c>
      <c r="B12" s="75" t="s">
        <v>74</v>
      </c>
      <c r="C12" s="75" t="s">
        <v>75</v>
      </c>
      <c r="D12" s="75" t="s">
        <v>76</v>
      </c>
      <c r="E12" s="74" t="s">
        <v>70</v>
      </c>
      <c r="F12" s="75" t="s">
        <v>71</v>
      </c>
      <c r="G12" s="267"/>
    </row>
    <row r="13" spans="1:7" ht="15.75" customHeight="1">
      <c r="A13" s="74">
        <v>1</v>
      </c>
      <c r="B13" s="74">
        <v>1</v>
      </c>
      <c r="C13" s="74">
        <v>1</v>
      </c>
      <c r="D13" s="74">
        <v>1</v>
      </c>
      <c r="E13" s="74">
        <f>SUM(A13:D13)</f>
        <v>4</v>
      </c>
      <c r="F13" s="74">
        <f>21.28*E13*0.4</f>
        <v>34.048000000000002</v>
      </c>
      <c r="G13" s="74"/>
    </row>
    <row r="14" spans="1:7" ht="27.75" customHeight="1">
      <c r="A14" s="270" t="s">
        <v>73</v>
      </c>
      <c r="B14" s="271"/>
      <c r="C14" s="271"/>
      <c r="D14" s="271"/>
      <c r="E14" s="271"/>
      <c r="F14" s="271"/>
      <c r="G14" s="272"/>
    </row>
    <row r="15" spans="1:7" ht="114" customHeight="1">
      <c r="A15" s="75" t="s">
        <v>74</v>
      </c>
      <c r="B15" s="75" t="s">
        <v>77</v>
      </c>
      <c r="C15" s="75" t="s">
        <v>78</v>
      </c>
      <c r="D15" s="75" t="s">
        <v>79</v>
      </c>
      <c r="E15" s="75" t="s">
        <v>80</v>
      </c>
      <c r="F15" s="75" t="s">
        <v>81</v>
      </c>
      <c r="G15" s="75" t="s">
        <v>82</v>
      </c>
    </row>
    <row r="16" spans="1:7">
      <c r="A16" s="74">
        <v>1</v>
      </c>
      <c r="B16" s="74">
        <v>1</v>
      </c>
      <c r="C16" s="74">
        <v>1</v>
      </c>
      <c r="D16" s="74">
        <v>1</v>
      </c>
      <c r="E16" s="74">
        <v>1</v>
      </c>
      <c r="F16" s="74">
        <f>1*0.3</f>
        <v>0.3</v>
      </c>
      <c r="G16" s="74">
        <v>1</v>
      </c>
    </row>
    <row r="17" spans="1:7" ht="15" customHeight="1">
      <c r="A17" s="268" t="s">
        <v>83</v>
      </c>
      <c r="B17" s="268"/>
      <c r="C17" s="268"/>
      <c r="D17" s="268"/>
      <c r="E17" s="268"/>
      <c r="F17" s="268"/>
      <c r="G17" s="265"/>
    </row>
    <row r="18" spans="1:7">
      <c r="A18" s="74" t="s">
        <v>84</v>
      </c>
      <c r="B18" s="74" t="s">
        <v>85</v>
      </c>
      <c r="C18" s="74" t="s">
        <v>86</v>
      </c>
      <c r="D18" s="74" t="s">
        <v>87</v>
      </c>
      <c r="E18" s="74" t="s">
        <v>88</v>
      </c>
      <c r="F18" s="74" t="s">
        <v>89</v>
      </c>
      <c r="G18" s="266"/>
    </row>
    <row r="19" spans="1:7">
      <c r="A19" s="74">
        <f>A16+B16+C16+D16+E16+F16+G16</f>
        <v>6.3</v>
      </c>
      <c r="B19" s="74">
        <f>A19</f>
        <v>6.3</v>
      </c>
      <c r="C19" s="74">
        <f t="shared" ref="C19:E19" si="0">B19</f>
        <v>6.3</v>
      </c>
      <c r="D19" s="74">
        <f t="shared" si="0"/>
        <v>6.3</v>
      </c>
      <c r="E19" s="74">
        <f t="shared" si="0"/>
        <v>6.3</v>
      </c>
      <c r="F19" s="74">
        <f>E19</f>
        <v>6.3</v>
      </c>
      <c r="G19" s="267"/>
    </row>
    <row r="20" spans="1:7" ht="60" customHeight="1">
      <c r="A20" s="269" t="s">
        <v>90</v>
      </c>
      <c r="B20" s="269"/>
      <c r="C20" s="269"/>
      <c r="D20" s="269"/>
      <c r="E20" s="269"/>
      <c r="F20" s="269"/>
      <c r="G20" s="269" t="s">
        <v>91</v>
      </c>
    </row>
    <row r="21" spans="1:7">
      <c r="A21" s="74">
        <v>15.73</v>
      </c>
      <c r="B21" s="74">
        <v>9.56</v>
      </c>
      <c r="C21" s="74">
        <v>14.11</v>
      </c>
      <c r="D21" s="74">
        <v>33.770000000000003</v>
      </c>
      <c r="E21" s="74">
        <v>37.93</v>
      </c>
      <c r="F21" s="74">
        <v>46.26</v>
      </c>
      <c r="G21" s="269"/>
    </row>
    <row r="22" spans="1:7">
      <c r="A22" s="74">
        <f>A19*A21*0.6*0.4*0.3</f>
        <v>7.1351279999999999</v>
      </c>
      <c r="B22" s="74">
        <f t="shared" ref="B22:F22" si="1">B19*B21*0.6*0.4*0.3</f>
        <v>4.3364160000000007</v>
      </c>
      <c r="C22" s="74">
        <f t="shared" si="1"/>
        <v>6.400296</v>
      </c>
      <c r="D22" s="74">
        <f t="shared" si="1"/>
        <v>15.318071999999999</v>
      </c>
      <c r="E22" s="74">
        <f t="shared" si="1"/>
        <v>17.205047999999998</v>
      </c>
      <c r="F22" s="74">
        <f t="shared" si="1"/>
        <v>20.983536000000001</v>
      </c>
      <c r="G22" s="269"/>
    </row>
    <row r="23" spans="1:7">
      <c r="A23" s="268" t="s">
        <v>92</v>
      </c>
      <c r="B23" s="268"/>
      <c r="C23" s="268"/>
      <c r="D23" s="268"/>
      <c r="E23" s="268"/>
      <c r="F23" s="268"/>
      <c r="G23" s="269"/>
    </row>
    <row r="24" spans="1:7">
      <c r="A24" s="74">
        <v>20</v>
      </c>
      <c r="B24" s="74">
        <v>60</v>
      </c>
      <c r="C24" s="74">
        <v>50</v>
      </c>
      <c r="D24" s="74">
        <v>50</v>
      </c>
      <c r="E24" s="74">
        <v>10</v>
      </c>
      <c r="F24" s="74">
        <v>80</v>
      </c>
      <c r="G24" s="269"/>
    </row>
    <row r="25" spans="1:7">
      <c r="A25" s="74">
        <f>A22*A24/100</f>
        <v>1.4270256000000001</v>
      </c>
      <c r="B25" s="74">
        <f t="shared" ref="B25:E25" si="2">B22*B24/100</f>
        <v>2.6018496000000004</v>
      </c>
      <c r="C25" s="74">
        <f t="shared" si="2"/>
        <v>3.200148</v>
      </c>
      <c r="D25" s="74">
        <f t="shared" si="2"/>
        <v>7.6590359999999995</v>
      </c>
      <c r="E25" s="74">
        <f t="shared" si="2"/>
        <v>1.7205047999999998</v>
      </c>
      <c r="F25" s="74">
        <f>F22*F24/100</f>
        <v>16.786828800000002</v>
      </c>
      <c r="G25" s="76">
        <f>SUM(A25:F25)</f>
        <v>33.395392800000003</v>
      </c>
    </row>
    <row r="26" spans="1:7" ht="28.5" customHeight="1">
      <c r="A26" s="264" t="s">
        <v>61</v>
      </c>
      <c r="B26" s="264"/>
      <c r="C26" s="264"/>
      <c r="D26" s="264"/>
      <c r="E26" s="264"/>
      <c r="F26" s="264"/>
      <c r="G26" s="77">
        <f>(G25+F13)*6.1</f>
        <v>411.40469607999995</v>
      </c>
    </row>
    <row r="27" spans="1:7" ht="33" customHeight="1">
      <c r="A27" s="264" t="s">
        <v>62</v>
      </c>
      <c r="B27" s="264"/>
      <c r="C27" s="264"/>
      <c r="D27" s="264"/>
      <c r="E27" s="264"/>
      <c r="F27" s="264"/>
      <c r="G27" s="77">
        <f>G26*(0.3161+0.6839*1.4)</f>
        <v>523.94856473964467</v>
      </c>
    </row>
    <row r="29" spans="1:7">
      <c r="A29" s="231" t="s">
        <v>57</v>
      </c>
      <c r="B29" s="231"/>
      <c r="C29" s="67" t="s">
        <v>58</v>
      </c>
      <c r="D29" s="56"/>
      <c r="E29" s="56"/>
    </row>
    <row r="30" spans="1:7">
      <c r="A30" s="38"/>
      <c r="B30" s="232" t="s">
        <v>49</v>
      </c>
      <c r="C30" s="232"/>
      <c r="D30" s="232"/>
      <c r="E30" s="232"/>
    </row>
  </sheetData>
  <mergeCells count="19">
    <mergeCell ref="F1:G1"/>
    <mergeCell ref="F2:G2"/>
    <mergeCell ref="F3:G3"/>
    <mergeCell ref="B6:F6"/>
    <mergeCell ref="B7:F7"/>
    <mergeCell ref="B5:F5"/>
    <mergeCell ref="A29:B29"/>
    <mergeCell ref="B30:E30"/>
    <mergeCell ref="A27:F27"/>
    <mergeCell ref="G10:G12"/>
    <mergeCell ref="G17:G19"/>
    <mergeCell ref="A17:F17"/>
    <mergeCell ref="A20:F20"/>
    <mergeCell ref="A23:F23"/>
    <mergeCell ref="G20:G24"/>
    <mergeCell ref="A26:F26"/>
    <mergeCell ref="A10:F10"/>
    <mergeCell ref="A11:F11"/>
    <mergeCell ref="A14:G14"/>
  </mergeCells>
  <pageMargins left="0.7" right="0.7" top="0.75" bottom="0.75" header="0.3" footer="0.3"/>
  <pageSetup paperSize="9" scale="88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2"/>
  <sheetViews>
    <sheetView tabSelected="1" view="pageBreakPreview" topLeftCell="A6" zoomScale="107" zoomScaleNormal="100" zoomScaleSheetLayoutView="107" workbookViewId="0">
      <selection activeCell="C12" sqref="C12"/>
    </sheetView>
  </sheetViews>
  <sheetFormatPr defaultColWidth="9.109375" defaultRowHeight="11.25" customHeight="1"/>
  <cols>
    <col min="1" max="1" width="6.6640625" style="59" customWidth="1"/>
    <col min="2" max="2" width="20.109375" style="59" customWidth="1"/>
    <col min="3" max="3" width="22.109375" style="59" customWidth="1"/>
    <col min="4" max="8" width="14" style="59" customWidth="1"/>
    <col min="9" max="9" width="11.44140625" style="59" bestFit="1" customWidth="1"/>
    <col min="10" max="10" width="88.6640625" style="60" hidden="1" customWidth="1"/>
    <col min="11" max="11" width="108.88671875" style="60" hidden="1" customWidth="1"/>
    <col min="12" max="12" width="129.5546875" style="60" hidden="1" customWidth="1"/>
    <col min="13" max="14" width="52.88671875" style="60" hidden="1" customWidth="1"/>
    <col min="15" max="16384" width="9.109375" style="59"/>
  </cols>
  <sheetData>
    <row r="1" spans="1:15" customFormat="1" ht="15.75" customHeight="1">
      <c r="A1" s="249"/>
      <c r="B1" s="249"/>
      <c r="C1" s="11"/>
      <c r="D1" s="59"/>
      <c r="E1" s="59"/>
      <c r="F1" s="38"/>
      <c r="G1" s="249" t="s">
        <v>8</v>
      </c>
      <c r="H1" s="249"/>
      <c r="I1" s="38"/>
      <c r="J1" s="38"/>
      <c r="K1" s="38"/>
      <c r="L1" s="38"/>
      <c r="M1" s="39"/>
    </row>
    <row r="2" spans="1:15" customFormat="1" ht="15.6" customHeight="1">
      <c r="A2" s="10"/>
      <c r="B2" s="10"/>
      <c r="C2" s="11"/>
      <c r="D2" s="59"/>
      <c r="E2" s="59"/>
      <c r="F2" s="290" t="s">
        <v>167</v>
      </c>
      <c r="G2" s="254"/>
      <c r="H2" s="254"/>
      <c r="I2" s="40"/>
      <c r="J2" s="40"/>
      <c r="K2" s="40"/>
      <c r="L2" s="40"/>
      <c r="M2" s="38"/>
      <c r="O2" s="40" t="s">
        <v>24</v>
      </c>
    </row>
    <row r="3" spans="1:15" customFormat="1" ht="34.200000000000003" customHeight="1">
      <c r="A3" s="158"/>
      <c r="B3" s="158"/>
      <c r="C3" s="11"/>
      <c r="D3" s="59"/>
      <c r="E3" s="59"/>
      <c r="F3" s="254"/>
      <c r="G3" s="254"/>
      <c r="H3" s="254"/>
      <c r="I3" s="45"/>
      <c r="J3" s="45"/>
      <c r="K3" s="45"/>
      <c r="L3" s="45"/>
      <c r="M3" s="38"/>
    </row>
    <row r="4" spans="1:15" customFormat="1" ht="15.75" customHeight="1">
      <c r="A4" s="160"/>
      <c r="B4" s="160"/>
      <c r="C4" s="160"/>
      <c r="D4" s="59"/>
      <c r="E4" s="59"/>
      <c r="F4" s="292" t="s">
        <v>168</v>
      </c>
      <c r="G4" s="292"/>
      <c r="H4" s="292"/>
      <c r="I4" s="41"/>
      <c r="J4" s="41"/>
      <c r="K4" s="41"/>
      <c r="L4" s="41"/>
      <c r="M4" s="38"/>
    </row>
    <row r="5" spans="1:15" customFormat="1" ht="14.4">
      <c r="A5" s="5"/>
      <c r="B5" s="5"/>
      <c r="C5" s="6"/>
      <c r="D5" s="6"/>
      <c r="E5" s="6"/>
      <c r="F5" s="38"/>
      <c r="G5" s="42"/>
      <c r="H5" s="41"/>
      <c r="I5" s="41"/>
      <c r="J5" s="41"/>
      <c r="K5" s="41"/>
      <c r="L5" s="41"/>
      <c r="M5" s="38"/>
    </row>
    <row r="6" spans="1:15" customFormat="1" ht="14.4">
      <c r="A6" s="59"/>
      <c r="B6" s="59"/>
      <c r="C6" s="59"/>
      <c r="D6" s="59"/>
      <c r="E6" s="59"/>
      <c r="F6" s="38"/>
      <c r="G6" s="42"/>
      <c r="H6" s="1"/>
      <c r="I6" s="41"/>
      <c r="J6" s="41"/>
      <c r="K6" s="41"/>
      <c r="L6" s="41"/>
      <c r="M6" s="38"/>
    </row>
    <row r="7" spans="1:15" customFormat="1" ht="14.4">
      <c r="A7" s="59"/>
      <c r="B7" s="59"/>
      <c r="C7" s="59"/>
      <c r="D7" s="59"/>
      <c r="E7" s="59"/>
      <c r="F7" s="38"/>
      <c r="G7" s="42"/>
      <c r="H7" s="1"/>
      <c r="I7" s="41"/>
      <c r="J7" s="41"/>
      <c r="K7" s="41"/>
      <c r="L7" s="41"/>
      <c r="M7" s="38"/>
    </row>
    <row r="8" spans="1:15" customFormat="1" ht="14.4">
      <c r="A8" s="156" t="s">
        <v>55</v>
      </c>
      <c r="B8" s="156"/>
      <c r="C8" s="156"/>
      <c r="D8" s="156"/>
      <c r="E8" s="156"/>
      <c r="F8" s="156"/>
      <c r="G8" s="156"/>
      <c r="H8" s="156"/>
    </row>
    <row r="9" spans="1:15" customFormat="1" ht="14.4">
      <c r="A9" s="174" t="s">
        <v>170</v>
      </c>
      <c r="B9" s="174"/>
      <c r="C9" s="174"/>
      <c r="D9" s="174"/>
      <c r="E9" s="174"/>
      <c r="F9" s="174"/>
      <c r="G9" s="174"/>
      <c r="H9" s="174"/>
    </row>
    <row r="10" spans="1:15" customFormat="1" ht="20.25" customHeight="1">
      <c r="A10" s="291"/>
      <c r="B10" s="291"/>
      <c r="C10" s="291"/>
      <c r="D10" s="291"/>
      <c r="E10" s="291"/>
      <c r="F10" s="291"/>
      <c r="G10" s="291"/>
      <c r="H10" s="291"/>
    </row>
    <row r="11" spans="1:15" customFormat="1" ht="17.399999999999999">
      <c r="A11" s="43"/>
      <c r="B11" s="43"/>
      <c r="C11" s="41"/>
      <c r="D11" s="2"/>
      <c r="E11" s="5"/>
      <c r="F11" s="5"/>
      <c r="G11" s="5"/>
      <c r="H11" s="5"/>
    </row>
    <row r="12" spans="1:15" customFormat="1" ht="14.4">
      <c r="A12" s="62" t="s">
        <v>163</v>
      </c>
      <c r="B12" s="62"/>
      <c r="C12" s="62"/>
      <c r="D12" s="62"/>
      <c r="E12" s="62"/>
      <c r="F12" s="62"/>
      <c r="G12" s="62"/>
      <c r="H12" s="62"/>
      <c r="K12" s="40" t="s">
        <v>38</v>
      </c>
    </row>
    <row r="13" spans="1:15" customFormat="1" ht="17.399999999999999">
      <c r="A13" s="44"/>
      <c r="B13" s="61"/>
      <c r="C13" s="61"/>
      <c r="D13" s="43"/>
      <c r="E13" s="43"/>
      <c r="F13" s="41"/>
      <c r="G13" s="41"/>
      <c r="H13" s="41"/>
    </row>
    <row r="14" spans="1:15" customFormat="1" ht="14.4">
      <c r="A14" s="38"/>
      <c r="B14" s="38"/>
      <c r="C14" s="38"/>
      <c r="D14" s="41"/>
      <c r="E14" s="41"/>
      <c r="F14" s="41"/>
      <c r="G14" s="41"/>
      <c r="H14" s="41"/>
    </row>
    <row r="15" spans="1:15" customFormat="1" ht="15" customHeight="1">
      <c r="A15" s="273" t="s">
        <v>39</v>
      </c>
      <c r="B15" s="273" t="s">
        <v>40</v>
      </c>
      <c r="C15" s="273" t="s">
        <v>41</v>
      </c>
      <c r="D15" s="276" t="s">
        <v>42</v>
      </c>
      <c r="E15" s="277"/>
      <c r="F15" s="277"/>
      <c r="G15" s="277"/>
      <c r="H15" s="278"/>
    </row>
    <row r="16" spans="1:15" customFormat="1" ht="14.4">
      <c r="A16" s="274"/>
      <c r="B16" s="274"/>
      <c r="C16" s="274"/>
      <c r="D16" s="273" t="s">
        <v>43</v>
      </c>
      <c r="E16" s="273" t="s">
        <v>44</v>
      </c>
      <c r="F16" s="273" t="s">
        <v>45</v>
      </c>
      <c r="G16" s="273" t="s">
        <v>46</v>
      </c>
      <c r="H16" s="273" t="s">
        <v>47</v>
      </c>
    </row>
    <row r="17" spans="1:14" customFormat="1" ht="19.2" customHeight="1">
      <c r="A17" s="275"/>
      <c r="B17" s="275"/>
      <c r="C17" s="275"/>
      <c r="D17" s="275"/>
      <c r="E17" s="275"/>
      <c r="F17" s="275"/>
      <c r="G17" s="275"/>
      <c r="H17" s="275"/>
    </row>
    <row r="18" spans="1:14" customFormat="1" ht="14.4">
      <c r="A18" s="46">
        <v>1</v>
      </c>
      <c r="B18" s="46">
        <v>2</v>
      </c>
      <c r="C18" s="46">
        <v>3</v>
      </c>
      <c r="D18" s="46">
        <v>4</v>
      </c>
      <c r="E18" s="46">
        <v>5</v>
      </c>
      <c r="F18" s="46">
        <v>6</v>
      </c>
      <c r="G18" s="46">
        <v>7</v>
      </c>
      <c r="H18" s="46">
        <v>8</v>
      </c>
    </row>
    <row r="19" spans="1:14" customFormat="1" ht="15" customHeight="1">
      <c r="A19" s="282" t="s">
        <v>50</v>
      </c>
      <c r="B19" s="283"/>
      <c r="C19" s="283"/>
      <c r="D19" s="283"/>
      <c r="E19" s="283"/>
      <c r="F19" s="283"/>
      <c r="G19" s="283"/>
      <c r="H19" s="284"/>
      <c r="L19" s="47" t="s">
        <v>48</v>
      </c>
      <c r="M19" s="48"/>
    </row>
    <row r="20" spans="1:14" customFormat="1" ht="20.399999999999999">
      <c r="A20" s="49">
        <v>1</v>
      </c>
      <c r="B20" s="63" t="s">
        <v>51</v>
      </c>
      <c r="C20" s="50" t="s">
        <v>53</v>
      </c>
      <c r="D20" s="51"/>
      <c r="E20" s="51"/>
      <c r="F20" s="51"/>
      <c r="G20" s="55">
        <v>407728.1</v>
      </c>
      <c r="H20" s="55">
        <f>G20</f>
        <v>407728.1</v>
      </c>
      <c r="L20" s="47"/>
      <c r="M20" s="48"/>
    </row>
    <row r="21" spans="1:14" customFormat="1" ht="14.4">
      <c r="A21" s="49">
        <v>2</v>
      </c>
      <c r="B21" s="63" t="s">
        <v>52</v>
      </c>
      <c r="C21" s="50" t="s">
        <v>54</v>
      </c>
      <c r="D21" s="51"/>
      <c r="E21" s="51"/>
      <c r="F21" s="51"/>
      <c r="G21" s="64">
        <f>'лрс 1.2'!F35</f>
        <v>1292777.4865236476</v>
      </c>
      <c r="H21" s="64">
        <f>G21</f>
        <v>1292777.4865236476</v>
      </c>
      <c r="I21" s="66"/>
      <c r="L21" s="47"/>
      <c r="M21" s="48"/>
    </row>
    <row r="22" spans="1:14" customFormat="1" ht="14.4">
      <c r="A22" s="49">
        <v>3</v>
      </c>
      <c r="B22" s="63" t="s">
        <v>93</v>
      </c>
      <c r="C22" s="50" t="s">
        <v>94</v>
      </c>
      <c r="D22" s="51"/>
      <c r="E22" s="51"/>
      <c r="F22" s="51"/>
      <c r="G22" s="64">
        <f>'АСУТП 1.3'!G27*1000</f>
        <v>523948.56473964464</v>
      </c>
      <c r="H22" s="64">
        <f>G22</f>
        <v>523948.56473964464</v>
      </c>
      <c r="I22" s="66"/>
      <c r="L22" s="47"/>
      <c r="M22" s="48"/>
    </row>
    <row r="23" spans="1:14" customFormat="1" ht="23.25" customHeight="1">
      <c r="A23" s="279" t="s">
        <v>56</v>
      </c>
      <c r="B23" s="280"/>
      <c r="C23" s="281"/>
      <c r="D23" s="52"/>
      <c r="E23" s="52"/>
      <c r="F23" s="53"/>
      <c r="G23" s="65">
        <f>G20+G21+G22</f>
        <v>2224454.1512632919</v>
      </c>
      <c r="H23" s="65">
        <f>H20+H21+H22</f>
        <v>2224454.1512632919</v>
      </c>
      <c r="L23" s="47"/>
      <c r="M23" s="48"/>
      <c r="N23" s="54"/>
    </row>
    <row r="24" spans="1:14" ht="11.25" customHeight="1">
      <c r="A24" s="285" t="s">
        <v>161</v>
      </c>
      <c r="B24" s="286"/>
      <c r="C24" s="287"/>
      <c r="D24" s="52"/>
      <c r="E24" s="52"/>
      <c r="F24" s="53"/>
      <c r="G24" s="65">
        <f>G23*20%</f>
        <v>444890.8302526584</v>
      </c>
      <c r="H24" s="65">
        <f>H23*0.2</f>
        <v>444890.8302526584</v>
      </c>
    </row>
    <row r="25" spans="1:14" ht="11.25" customHeight="1">
      <c r="A25" s="150"/>
      <c r="B25" s="288" t="s">
        <v>162</v>
      </c>
      <c r="C25" s="289"/>
      <c r="D25" s="52"/>
      <c r="E25" s="52"/>
      <c r="F25" s="53"/>
      <c r="G25" s="65">
        <f>G23+G24</f>
        <v>2669344.9815159505</v>
      </c>
      <c r="H25" s="65">
        <f>H23+H24</f>
        <v>2669344.9815159505</v>
      </c>
    </row>
    <row r="26" spans="1:14" ht="11.25" customHeight="1">
      <c r="A26" s="151"/>
      <c r="B26" s="152"/>
      <c r="C26" s="152"/>
      <c r="D26" s="153"/>
      <c r="E26" s="153"/>
      <c r="F26" s="154"/>
      <c r="G26" s="155"/>
      <c r="H26" s="155"/>
    </row>
    <row r="27" spans="1:14" ht="11.25" customHeight="1">
      <c r="A27" s="151"/>
      <c r="B27" s="152"/>
      <c r="C27" s="152"/>
      <c r="D27" s="153"/>
      <c r="E27" s="153"/>
      <c r="F27" s="154"/>
      <c r="G27" s="155"/>
      <c r="H27" s="155"/>
    </row>
    <row r="28" spans="1:14" ht="11.25" customHeight="1">
      <c r="A28" s="151"/>
      <c r="B28"/>
      <c r="C28"/>
      <c r="D28"/>
      <c r="E28"/>
      <c r="F28"/>
      <c r="G28" s="155"/>
      <c r="H28" s="155"/>
    </row>
    <row r="29" spans="1:14" customFormat="1" ht="14.4">
      <c r="A29" s="56"/>
      <c r="B29" s="231" t="s">
        <v>57</v>
      </c>
      <c r="C29" s="231"/>
      <c r="D29" s="67" t="s">
        <v>58</v>
      </c>
      <c r="E29" s="56"/>
      <c r="F29" s="56"/>
      <c r="G29" s="56"/>
      <c r="H29" s="56"/>
    </row>
    <row r="30" spans="1:14" customFormat="1" ht="14.4">
      <c r="A30" s="38"/>
      <c r="B30" s="38"/>
      <c r="C30" s="232" t="s">
        <v>49</v>
      </c>
      <c r="D30" s="232"/>
      <c r="E30" s="232"/>
      <c r="F30" s="232"/>
      <c r="G30" s="57"/>
      <c r="H30" s="57"/>
    </row>
    <row r="32" spans="1:14" customFormat="1" ht="14.4">
      <c r="C32" s="58"/>
    </row>
  </sheetData>
  <mergeCells count="24">
    <mergeCell ref="A10:H10"/>
    <mergeCell ref="A4:C4"/>
    <mergeCell ref="F4:H4"/>
    <mergeCell ref="A1:B1"/>
    <mergeCell ref="G1:H1"/>
    <mergeCell ref="A3:B3"/>
    <mergeCell ref="F2:H3"/>
    <mergeCell ref="A9:H9"/>
    <mergeCell ref="A8:H8"/>
    <mergeCell ref="C30:F30"/>
    <mergeCell ref="A15:A17"/>
    <mergeCell ref="B15:B17"/>
    <mergeCell ref="C15:C17"/>
    <mergeCell ref="D15:H15"/>
    <mergeCell ref="D16:D17"/>
    <mergeCell ref="E16:E17"/>
    <mergeCell ref="F16:F17"/>
    <mergeCell ref="G16:G17"/>
    <mergeCell ref="H16:H17"/>
    <mergeCell ref="A23:C23"/>
    <mergeCell ref="A19:H19"/>
    <mergeCell ref="A24:C24"/>
    <mergeCell ref="B25:C25"/>
    <mergeCell ref="B29:C29"/>
  </mergeCells>
  <phoneticPr fontId="2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см.1.1 Обмер и обслед</vt:lpstr>
      <vt:lpstr>лрс 1.2</vt:lpstr>
      <vt:lpstr>ЛСР ТО от 31.08.2024</vt:lpstr>
      <vt:lpstr>АСУТП 1.3</vt:lpstr>
      <vt:lpstr>ССР </vt:lpstr>
      <vt:lpstr>'см.1.1 Обмер и обслед'!Область_печати</vt:lpstr>
      <vt:lpstr>'ССР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</dc:creator>
  <cp:lastModifiedBy>Анна</cp:lastModifiedBy>
  <cp:lastPrinted>2025-03-21T03:24:47Z</cp:lastPrinted>
  <dcterms:created xsi:type="dcterms:W3CDTF">2014-05-08T09:51:02Z</dcterms:created>
  <dcterms:modified xsi:type="dcterms:W3CDTF">2025-03-21T03:25:16Z</dcterms:modified>
</cp:coreProperties>
</file>