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05" firstSheet="2" activeTab="2"/>
  </bookViews>
  <sheets>
    <sheet name="Форма ОЗП 2021-2022" sheetId="1" state="hidden" r:id="rId1"/>
    <sheet name="Лоты " sheetId="4" state="hidden" r:id="rId2"/>
    <sheet name="План ОЗП 2023-2024" sheetId="7" r:id="rId3"/>
    <sheet name="Подряд" sheetId="10" state="hidden" r:id="rId4"/>
    <sheet name="Поставка" sheetId="11" state="hidden" r:id="rId5"/>
    <sheet name="Лист1" sheetId="2" state="hidden" r:id="rId6"/>
    <sheet name="Лист2" sheetId="3" state="hidden" r:id="rId7"/>
  </sheets>
  <definedNames>
    <definedName name="_xlnm._FilterDatabase" localSheetId="2" hidden="1">'План ОЗП 2023-2024'!#REF!</definedName>
    <definedName name="_xlnm.Print_Titles" localSheetId="2">'План ОЗП 2023-2024'!$3:$3</definedName>
    <definedName name="_xlnm.Print_Area" localSheetId="2">'План ОЗП 2023-2024'!$A$1:$I$22</definedName>
    <definedName name="_xlnm.Print_Area" localSheetId="0">'Форма ОЗП 2021-2022'!$B$1:$N$817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7" l="1"/>
  <c r="I21" i="7"/>
  <c r="H15" i="7" l="1"/>
  <c r="H16" i="7"/>
  <c r="I16" i="7" s="1"/>
  <c r="H8" i="7"/>
  <c r="H9" i="7"/>
  <c r="I9" i="7" s="1"/>
  <c r="G16" i="7"/>
  <c r="G15" i="7"/>
  <c r="G14" i="7"/>
  <c r="G13" i="7"/>
  <c r="G10" i="7"/>
  <c r="H10" i="7" s="1"/>
  <c r="G9" i="7"/>
  <c r="G8" i="7"/>
  <c r="G7" i="7"/>
  <c r="G6" i="7"/>
  <c r="H6" i="7" s="1"/>
  <c r="I6" i="7" s="1"/>
  <c r="H20" i="7"/>
  <c r="I20" i="7" s="1"/>
  <c r="H19" i="7"/>
  <c r="I19" i="7" s="1"/>
  <c r="G20" i="7"/>
  <c r="G19" i="7"/>
  <c r="A7" i="7"/>
  <c r="I13" i="7" l="1"/>
  <c r="I8" i="7"/>
  <c r="H7" i="7"/>
  <c r="I7" i="7" s="1"/>
  <c r="I11" i="7" s="1"/>
  <c r="H14" i="7"/>
  <c r="I14" i="7" s="1"/>
  <c r="H13" i="7"/>
  <c r="I15" i="7"/>
  <c r="I10" i="7"/>
  <c r="H11" i="11"/>
  <c r="I17" i="7" l="1"/>
  <c r="H7" i="11"/>
  <c r="H6" i="11"/>
  <c r="H5" i="11"/>
  <c r="E23" i="11" l="1"/>
  <c r="D23" i="11"/>
  <c r="F16" i="11" l="1"/>
  <c r="F17" i="11"/>
  <c r="F18" i="11"/>
  <c r="F15" i="11"/>
  <c r="F8" i="11"/>
  <c r="F9" i="11"/>
  <c r="F10" i="11"/>
  <c r="F11" i="11"/>
  <c r="F12" i="11"/>
  <c r="F13" i="11"/>
  <c r="F14" i="11"/>
  <c r="F19" i="11"/>
  <c r="F20" i="11"/>
  <c r="F21" i="11"/>
  <c r="F22" i="11"/>
  <c r="G15" i="11" l="1"/>
  <c r="G8" i="11"/>
  <c r="G12" i="11"/>
  <c r="G19" i="11"/>
  <c r="F7" i="11"/>
  <c r="F6" i="11"/>
  <c r="F5" i="11"/>
  <c r="G5" i="11" l="1"/>
  <c r="G23" i="11" s="1"/>
  <c r="F23" i="11"/>
  <c r="I14" i="10"/>
  <c r="I15" i="10"/>
  <c r="I16" i="10"/>
  <c r="I13" i="10"/>
  <c r="H14" i="10"/>
  <c r="G14" i="10" s="1"/>
  <c r="H13" i="10"/>
  <c r="G13" i="10" s="1"/>
  <c r="H15" i="10"/>
  <c r="G15" i="10" s="1"/>
  <c r="D9" i="10"/>
  <c r="H11" i="10"/>
  <c r="G11" i="10" s="1"/>
  <c r="H10" i="10"/>
  <c r="G10" i="10" s="1"/>
  <c r="D5" i="10"/>
  <c r="H9" i="10"/>
  <c r="G9" i="10" s="1"/>
  <c r="H8" i="10"/>
  <c r="G8" i="10" s="1"/>
  <c r="H7" i="10"/>
  <c r="G7" i="10" s="1"/>
  <c r="H6" i="10"/>
  <c r="G6" i="10" s="1"/>
  <c r="G5" i="10"/>
  <c r="I5" i="10" l="1"/>
  <c r="I18" i="10" s="1"/>
  <c r="I20" i="10" s="1"/>
  <c r="D32" i="4" l="1"/>
  <c r="M257" i="1" l="1"/>
  <c r="K755" i="1"/>
  <c r="K756" i="1"/>
  <c r="K757" i="1"/>
  <c r="K758" i="1"/>
  <c r="K759" i="1"/>
  <c r="K760" i="1"/>
  <c r="K761" i="1"/>
  <c r="K762" i="1"/>
  <c r="K763" i="1"/>
  <c r="K764" i="1"/>
  <c r="K765" i="1"/>
  <c r="K754" i="1"/>
  <c r="H8" i="4"/>
  <c r="G8" i="4"/>
  <c r="F8" i="4"/>
  <c r="M754" i="1" l="1"/>
  <c r="M766" i="1" s="1"/>
  <c r="K766" i="1"/>
  <c r="K663" i="1"/>
  <c r="K302" i="1"/>
  <c r="K146" i="1"/>
  <c r="M146" i="1" s="1"/>
  <c r="K145" i="1"/>
  <c r="M145" i="1" s="1"/>
  <c r="K144" i="1"/>
  <c r="M144" i="1" s="1"/>
  <c r="K143" i="1"/>
  <c r="M143" i="1" s="1"/>
  <c r="H42" i="4"/>
  <c r="H41" i="4"/>
  <c r="I63" i="4" s="1"/>
  <c r="H40" i="4"/>
  <c r="H39" i="4"/>
  <c r="H45" i="4"/>
  <c r="H46" i="4"/>
  <c r="H43" i="4"/>
  <c r="H48" i="4"/>
  <c r="H49" i="4"/>
  <c r="H30" i="4"/>
  <c r="H32" i="4"/>
  <c r="H31" i="4"/>
  <c r="H28" i="4"/>
  <c r="H27" i="4"/>
  <c r="I18" i="4"/>
  <c r="F7" i="4"/>
  <c r="G7" i="4"/>
  <c r="H7" i="4"/>
  <c r="H6" i="4"/>
  <c r="G6" i="4"/>
  <c r="F6" i="4"/>
  <c r="I61" i="4" l="1"/>
  <c r="I62" i="4"/>
  <c r="I60" i="4"/>
  <c r="I17" i="4"/>
  <c r="I16" i="4"/>
  <c r="I15" i="4"/>
  <c r="I13" i="4"/>
  <c r="D6" i="4"/>
  <c r="M477" i="1"/>
  <c r="D8" i="4"/>
  <c r="G63" i="4" s="1"/>
  <c r="I64" i="4" l="1"/>
  <c r="M31" i="1"/>
  <c r="K196" i="1"/>
  <c r="M196" i="1" s="1"/>
  <c r="K197" i="1"/>
  <c r="M197" i="1" s="1"/>
  <c r="K198" i="1"/>
  <c r="M198" i="1" s="1"/>
  <c r="K199" i="1"/>
  <c r="M199" i="1" s="1"/>
  <c r="K200" i="1"/>
  <c r="M200" i="1" s="1"/>
  <c r="K201" i="1"/>
  <c r="M201" i="1" s="1"/>
  <c r="K195" i="1"/>
  <c r="D9" i="4"/>
  <c r="G62" i="4" s="1"/>
  <c r="D7" i="4"/>
  <c r="Q31" i="1" l="1"/>
  <c r="K202" i="1"/>
  <c r="I6" i="4"/>
  <c r="D50" i="4" l="1"/>
  <c r="K419" i="1"/>
  <c r="K455" i="1"/>
  <c r="K456" i="1"/>
  <c r="K457" i="1"/>
  <c r="K458" i="1"/>
  <c r="K454" i="1"/>
  <c r="K439" i="1"/>
  <c r="K437" i="1"/>
  <c r="K431" i="1"/>
  <c r="K430" i="1"/>
  <c r="K434" i="1"/>
  <c r="K435" i="1"/>
  <c r="K436" i="1"/>
  <c r="K305" i="1" l="1"/>
  <c r="I10" i="4" l="1"/>
  <c r="K517" i="1" l="1"/>
  <c r="K518" i="1"/>
  <c r="K519" i="1"/>
  <c r="K520" i="1"/>
  <c r="K521" i="1"/>
  <c r="K522" i="1"/>
  <c r="K523" i="1"/>
  <c r="K524" i="1"/>
  <c r="K525" i="1"/>
  <c r="K526" i="1"/>
  <c r="K527" i="1"/>
  <c r="K575" i="1"/>
  <c r="K576" i="1"/>
  <c r="K577" i="1"/>
  <c r="K578" i="1"/>
  <c r="K579" i="1"/>
  <c r="K580" i="1"/>
  <c r="K581" i="1"/>
  <c r="K582" i="1"/>
  <c r="K583" i="1"/>
  <c r="K712" i="1"/>
  <c r="K713" i="1"/>
  <c r="K714" i="1"/>
  <c r="K715" i="1"/>
  <c r="K716" i="1"/>
  <c r="K717" i="1"/>
  <c r="K718" i="1"/>
  <c r="K719" i="1"/>
  <c r="K720" i="1"/>
  <c r="K722" i="1"/>
  <c r="K723" i="1"/>
  <c r="K724" i="1"/>
  <c r="K725" i="1"/>
  <c r="K480" i="1"/>
  <c r="K481" i="1"/>
  <c r="K482" i="1"/>
  <c r="K483" i="1"/>
  <c r="K479" i="1"/>
  <c r="K491" i="1"/>
  <c r="K484" i="1"/>
  <c r="K485" i="1"/>
  <c r="K486" i="1"/>
  <c r="K487" i="1"/>
  <c r="K488" i="1"/>
  <c r="K489" i="1"/>
  <c r="K490" i="1"/>
  <c r="K492" i="1" l="1"/>
  <c r="D37" i="4"/>
  <c r="D38" i="4"/>
  <c r="M484" i="1"/>
  <c r="M712" i="1"/>
  <c r="K614" i="1"/>
  <c r="K298" i="1" l="1"/>
  <c r="K299" i="1"/>
  <c r="K300" i="1"/>
  <c r="K295" i="1"/>
  <c r="K296" i="1"/>
  <c r="K297" i="1"/>
  <c r="D11" i="4" l="1"/>
  <c r="G60" i="4" s="1"/>
  <c r="I102" i="3" l="1"/>
  <c r="I103" i="3"/>
  <c r="I104" i="3"/>
  <c r="I105" i="3"/>
  <c r="I106" i="3"/>
  <c r="I107" i="3"/>
  <c r="I108" i="3"/>
  <c r="I109" i="3"/>
  <c r="I101" i="3"/>
  <c r="I99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70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44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7" i="3"/>
  <c r="K260" i="1"/>
  <c r="K261" i="1"/>
  <c r="K269" i="1"/>
  <c r="K262" i="1"/>
  <c r="K263" i="1"/>
  <c r="K264" i="1"/>
  <c r="K259" i="1"/>
  <c r="K242" i="1"/>
  <c r="K230" i="1"/>
  <c r="K233" i="1"/>
  <c r="K276" i="1"/>
  <c r="K275" i="1"/>
  <c r="I96" i="3" l="1"/>
  <c r="I41" i="3"/>
  <c r="I111" i="3"/>
  <c r="I67" i="3"/>
  <c r="M275" i="1"/>
  <c r="M260" i="1"/>
  <c r="K691" i="1"/>
  <c r="K416" i="1"/>
  <c r="M416" i="1" s="1"/>
  <c r="I112" i="3" l="1"/>
  <c r="K460" i="1"/>
  <c r="M401" i="1"/>
  <c r="K17" i="2"/>
  <c r="M17" i="2" s="1"/>
  <c r="K400" i="1" l="1"/>
  <c r="K257" i="1"/>
  <c r="M400" i="1" l="1"/>
  <c r="K277" i="1"/>
  <c r="M277" i="1" s="1"/>
  <c r="K265" i="1" l="1"/>
  <c r="M265" i="1" s="1"/>
  <c r="K95" i="1" l="1"/>
  <c r="K14" i="2" l="1"/>
  <c r="K13" i="2"/>
  <c r="K12" i="2"/>
  <c r="K11" i="2"/>
  <c r="K10" i="2"/>
  <c r="K9" i="2"/>
  <c r="K8" i="2"/>
  <c r="K501" i="1"/>
  <c r="M8" i="2" l="1"/>
  <c r="M501" i="1"/>
  <c r="K250" i="1"/>
  <c r="K219" i="1"/>
  <c r="M219" i="1" s="1"/>
  <c r="K220" i="1"/>
  <c r="M220" i="1" s="1"/>
  <c r="K88" i="1" l="1"/>
  <c r="M88" i="1" s="1"/>
  <c r="K89" i="1"/>
  <c r="M89" i="1" s="1"/>
  <c r="K90" i="1"/>
  <c r="M90" i="1" s="1"/>
  <c r="K91" i="1"/>
  <c r="M91" i="1" s="1"/>
  <c r="K191" i="1"/>
  <c r="K503" i="1"/>
  <c r="K504" i="1"/>
  <c r="K505" i="1"/>
  <c r="K506" i="1"/>
  <c r="M506" i="1" s="1"/>
  <c r="K507" i="1"/>
  <c r="M507" i="1" s="1"/>
  <c r="K508" i="1"/>
  <c r="M508" i="1" s="1"/>
  <c r="K509" i="1"/>
  <c r="M509" i="1" s="1"/>
  <c r="D47" i="4" l="1"/>
  <c r="K510" i="1"/>
  <c r="M505" i="1"/>
  <c r="M504" i="1"/>
  <c r="D34" i="4"/>
  <c r="M503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67" i="1"/>
  <c r="K168" i="1"/>
  <c r="K169" i="1"/>
  <c r="K170" i="1"/>
  <c r="K171" i="1"/>
  <c r="K166" i="1"/>
  <c r="K773" i="1"/>
  <c r="K774" i="1"/>
  <c r="K775" i="1"/>
  <c r="K779" i="1"/>
  <c r="K784" i="1"/>
  <c r="D52" i="4"/>
  <c r="I50" i="4" s="1"/>
  <c r="K813" i="1"/>
  <c r="M813" i="1" s="1"/>
  <c r="K769" i="1"/>
  <c r="K770" i="1"/>
  <c r="K771" i="1"/>
  <c r="K772" i="1"/>
  <c r="K776" i="1"/>
  <c r="K777" i="1"/>
  <c r="K778" i="1"/>
  <c r="K780" i="1"/>
  <c r="M780" i="1" s="1"/>
  <c r="K781" i="1"/>
  <c r="K782" i="1"/>
  <c r="K783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768" i="1"/>
  <c r="M166" i="1" l="1"/>
  <c r="M510" i="1"/>
  <c r="M768" i="1"/>
  <c r="M781" i="1"/>
  <c r="M797" i="1"/>
  <c r="M788" i="1"/>
  <c r="K814" i="1"/>
  <c r="K548" i="1"/>
  <c r="K549" i="1"/>
  <c r="K550" i="1"/>
  <c r="K551" i="1"/>
  <c r="K552" i="1"/>
  <c r="K553" i="1"/>
  <c r="M814" i="1" l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33" i="1"/>
  <c r="K732" i="1"/>
  <c r="K731" i="1"/>
  <c r="K730" i="1"/>
  <c r="K729" i="1"/>
  <c r="K728" i="1"/>
  <c r="K727" i="1"/>
  <c r="K726" i="1"/>
  <c r="K559" i="1"/>
  <c r="K560" i="1"/>
  <c r="K561" i="1"/>
  <c r="K562" i="1"/>
  <c r="K563" i="1"/>
  <c r="K564" i="1"/>
  <c r="K565" i="1"/>
  <c r="K529" i="1"/>
  <c r="K530" i="1"/>
  <c r="K531" i="1"/>
  <c r="K532" i="1"/>
  <c r="K533" i="1"/>
  <c r="K534" i="1"/>
  <c r="K535" i="1"/>
  <c r="K528" i="1"/>
  <c r="K294" i="1"/>
  <c r="K301" i="1"/>
  <c r="K293" i="1"/>
  <c r="K282" i="1"/>
  <c r="K283" i="1"/>
  <c r="K284" i="1"/>
  <c r="K285" i="1"/>
  <c r="K286" i="1"/>
  <c r="K287" i="1"/>
  <c r="K288" i="1"/>
  <c r="K289" i="1"/>
  <c r="K290" i="1"/>
  <c r="K291" i="1"/>
  <c r="K292" i="1"/>
  <c r="K281" i="1"/>
  <c r="K218" i="1"/>
  <c r="M218" i="1" s="1"/>
  <c r="K661" i="1"/>
  <c r="K658" i="1"/>
  <c r="K659" i="1"/>
  <c r="K652" i="1"/>
  <c r="K653" i="1"/>
  <c r="K654" i="1"/>
  <c r="K65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586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664" i="1"/>
  <c r="K555" i="1"/>
  <c r="K556" i="1"/>
  <c r="K557" i="1"/>
  <c r="K558" i="1"/>
  <c r="K554" i="1"/>
  <c r="K541" i="1"/>
  <c r="K542" i="1"/>
  <c r="K543" i="1"/>
  <c r="K544" i="1"/>
  <c r="K545" i="1"/>
  <c r="K546" i="1"/>
  <c r="K547" i="1"/>
  <c r="J721" i="1"/>
  <c r="K721" i="1" s="1"/>
  <c r="K540" i="1"/>
  <c r="M540" i="1" s="1"/>
  <c r="M579" i="1"/>
  <c r="M580" i="1"/>
  <c r="M581" i="1"/>
  <c r="M582" i="1"/>
  <c r="M583" i="1"/>
  <c r="M578" i="1"/>
  <c r="K574" i="1"/>
  <c r="M574" i="1" s="1"/>
  <c r="K160" i="1"/>
  <c r="K159" i="1"/>
  <c r="K164" i="1"/>
  <c r="M164" i="1" s="1"/>
  <c r="K270" i="1"/>
  <c r="K271" i="1"/>
  <c r="K272" i="1"/>
  <c r="M721" i="1" l="1"/>
  <c r="K752" i="1"/>
  <c r="M287" i="1"/>
  <c r="M528" i="1"/>
  <c r="M281" i="1"/>
  <c r="M290" i="1"/>
  <c r="M541" i="1"/>
  <c r="M293" i="1"/>
  <c r="M284" i="1"/>
  <c r="D28" i="4"/>
  <c r="M586" i="1"/>
  <c r="M642" i="1"/>
  <c r="M610" i="1"/>
  <c r="M589" i="1"/>
  <c r="M664" i="1"/>
  <c r="M625" i="1"/>
  <c r="M596" i="1"/>
  <c r="M726" i="1"/>
  <c r="M639" i="1"/>
  <c r="M620" i="1"/>
  <c r="K413" i="1"/>
  <c r="K414" i="1"/>
  <c r="K415" i="1"/>
  <c r="K412" i="1"/>
  <c r="K402" i="1"/>
  <c r="K438" i="1"/>
  <c r="M752" i="1" l="1"/>
  <c r="M412" i="1"/>
  <c r="K410" i="1"/>
  <c r="K409" i="1"/>
  <c r="K408" i="1"/>
  <c r="M408" i="1" l="1"/>
  <c r="K207" i="1"/>
  <c r="K208" i="1"/>
  <c r="K209" i="1"/>
  <c r="K210" i="1"/>
  <c r="K211" i="1"/>
  <c r="K212" i="1"/>
  <c r="K206" i="1"/>
  <c r="M206" i="1" l="1"/>
  <c r="K98" i="1"/>
  <c r="K109" i="1"/>
  <c r="K114" i="1"/>
  <c r="K138" i="1"/>
  <c r="K129" i="1"/>
  <c r="K124" i="1"/>
  <c r="K119" i="1"/>
  <c r="K303" i="1" l="1"/>
  <c r="K304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J306" i="1"/>
  <c r="K306" i="1" s="1"/>
  <c r="K662" i="1"/>
  <c r="K660" i="1"/>
  <c r="K657" i="1"/>
  <c r="K656" i="1"/>
  <c r="K651" i="1"/>
  <c r="K573" i="1"/>
  <c r="K572" i="1"/>
  <c r="K571" i="1"/>
  <c r="K570" i="1"/>
  <c r="K569" i="1"/>
  <c r="K568" i="1"/>
  <c r="K567" i="1"/>
  <c r="K566" i="1"/>
  <c r="K539" i="1"/>
  <c r="M539" i="1" s="1"/>
  <c r="K538" i="1"/>
  <c r="K516" i="1"/>
  <c r="M516" i="1" l="1"/>
  <c r="M660" i="1"/>
  <c r="M305" i="1"/>
  <c r="M303" i="1"/>
  <c r="K321" i="1"/>
  <c r="D45" i="4"/>
  <c r="M560" i="1"/>
  <c r="M651" i="1"/>
  <c r="M536" i="1"/>
  <c r="D42" i="4"/>
  <c r="M538" i="1"/>
  <c r="K584" i="1"/>
  <c r="K536" i="1"/>
  <c r="K710" i="1"/>
  <c r="D49" i="4"/>
  <c r="M575" i="1"/>
  <c r="M321" i="1" l="1"/>
  <c r="H62" i="4"/>
  <c r="J62" i="4" s="1"/>
  <c r="M710" i="1"/>
  <c r="K816" i="1"/>
  <c r="M584" i="1"/>
  <c r="K266" i="1"/>
  <c r="M816" i="1" l="1"/>
  <c r="M499" i="1"/>
  <c r="M398" i="1" l="1"/>
  <c r="K398" i="1"/>
  <c r="K327" i="1"/>
  <c r="M327" i="1" s="1"/>
  <c r="K325" i="1"/>
  <c r="K326" i="1"/>
  <c r="M326" i="1" s="1"/>
  <c r="K328" i="1"/>
  <c r="M328" i="1" s="1"/>
  <c r="K329" i="1"/>
  <c r="M329" i="1" s="1"/>
  <c r="K330" i="1"/>
  <c r="M330" i="1" s="1"/>
  <c r="K331" i="1"/>
  <c r="M331" i="1" s="1"/>
  <c r="K332" i="1"/>
  <c r="M332" i="1" s="1"/>
  <c r="K324" i="1"/>
  <c r="M324" i="1" s="1"/>
  <c r="M325" i="1" l="1"/>
  <c r="M272" i="1"/>
  <c r="M271" i="1"/>
  <c r="M270" i="1"/>
  <c r="M269" i="1"/>
  <c r="M268" i="1"/>
  <c r="M266" i="1"/>
  <c r="M264" i="1"/>
  <c r="M262" i="1"/>
  <c r="M259" i="1"/>
  <c r="M195" i="1"/>
  <c r="M194" i="1"/>
  <c r="J156" i="1"/>
  <c r="K156" i="1" s="1"/>
  <c r="K87" i="1"/>
  <c r="K84" i="1"/>
  <c r="K472" i="1"/>
  <c r="M472" i="1" s="1"/>
  <c r="K471" i="1"/>
  <c r="K470" i="1"/>
  <c r="M202" i="1" l="1"/>
  <c r="Q202" i="1" s="1"/>
  <c r="D41" i="4"/>
  <c r="H63" i="4" s="1"/>
  <c r="J63" i="4" s="1"/>
  <c r="K473" i="1"/>
  <c r="K512" i="1" s="1"/>
  <c r="M471" i="1"/>
  <c r="M470" i="1"/>
  <c r="M479" i="1"/>
  <c r="M492" i="1" s="1"/>
  <c r="K36" i="1"/>
  <c r="M473" i="1" l="1"/>
  <c r="M512" i="1" s="1"/>
  <c r="D12" i="4"/>
  <c r="G61" i="4" s="1"/>
  <c r="K464" i="1"/>
  <c r="K463" i="1"/>
  <c r="J462" i="1"/>
  <c r="K462" i="1" s="1"/>
  <c r="K461" i="1"/>
  <c r="K459" i="1"/>
  <c r="K453" i="1"/>
  <c r="K452" i="1"/>
  <c r="K451" i="1"/>
  <c r="K450" i="1"/>
  <c r="K449" i="1"/>
  <c r="K448" i="1"/>
  <c r="K447" i="1"/>
  <c r="K446" i="1"/>
  <c r="K445" i="1"/>
  <c r="K443" i="1"/>
  <c r="K442" i="1"/>
  <c r="K441" i="1"/>
  <c r="K440" i="1"/>
  <c r="K433" i="1"/>
  <c r="K432" i="1"/>
  <c r="K429" i="1"/>
  <c r="K428" i="1"/>
  <c r="K427" i="1"/>
  <c r="K426" i="1"/>
  <c r="K425" i="1"/>
  <c r="K424" i="1"/>
  <c r="K423" i="1"/>
  <c r="K422" i="1"/>
  <c r="K421" i="1"/>
  <c r="K420" i="1"/>
  <c r="K406" i="1"/>
  <c r="K405" i="1"/>
  <c r="K404" i="1"/>
  <c r="K403" i="1"/>
  <c r="K323" i="1"/>
  <c r="K274" i="1"/>
  <c r="M274" i="1" s="1"/>
  <c r="K273" i="1"/>
  <c r="M273" i="1" s="1"/>
  <c r="K267" i="1"/>
  <c r="M263" i="1"/>
  <c r="K249" i="1"/>
  <c r="K248" i="1"/>
  <c r="K247" i="1"/>
  <c r="K246" i="1"/>
  <c r="K245" i="1"/>
  <c r="K244" i="1"/>
  <c r="K243" i="1"/>
  <c r="K241" i="1"/>
  <c r="K240" i="1"/>
  <c r="K239" i="1"/>
  <c r="K238" i="1"/>
  <c r="K237" i="1"/>
  <c r="K236" i="1"/>
  <c r="K235" i="1"/>
  <c r="K234" i="1"/>
  <c r="K232" i="1"/>
  <c r="K231" i="1"/>
  <c r="K229" i="1"/>
  <c r="K228" i="1"/>
  <c r="K227" i="1"/>
  <c r="G64" i="4" l="1"/>
  <c r="M229" i="1"/>
  <c r="M402" i="1"/>
  <c r="M227" i="1"/>
  <c r="M232" i="1"/>
  <c r="M241" i="1"/>
  <c r="D36" i="4"/>
  <c r="K333" i="1"/>
  <c r="M323" i="1"/>
  <c r="M333" i="1" s="1"/>
  <c r="M419" i="1"/>
  <c r="M267" i="1"/>
  <c r="K278" i="1"/>
  <c r="M442" i="1"/>
  <c r="I11" i="4"/>
  <c r="I22" i="4" s="1"/>
  <c r="D30" i="4"/>
  <c r="D27" i="4"/>
  <c r="K465" i="1"/>
  <c r="D44" i="4"/>
  <c r="K251" i="1"/>
  <c r="D40" i="4"/>
  <c r="M261" i="1"/>
  <c r="K217" i="1"/>
  <c r="K216" i="1"/>
  <c r="K215" i="1"/>
  <c r="K163" i="1"/>
  <c r="K162" i="1"/>
  <c r="K161" i="1"/>
  <c r="K158" i="1"/>
  <c r="K157" i="1"/>
  <c r="K155" i="1"/>
  <c r="K154" i="1"/>
  <c r="K153" i="1"/>
  <c r="K152" i="1"/>
  <c r="K151" i="1"/>
  <c r="K142" i="1"/>
  <c r="K141" i="1"/>
  <c r="K140" i="1"/>
  <c r="K139" i="1"/>
  <c r="K137" i="1"/>
  <c r="K136" i="1"/>
  <c r="K135" i="1"/>
  <c r="K134" i="1"/>
  <c r="K133" i="1"/>
  <c r="K132" i="1"/>
  <c r="K131" i="1"/>
  <c r="K130" i="1"/>
  <c r="K128" i="1"/>
  <c r="K127" i="1"/>
  <c r="K126" i="1"/>
  <c r="K125" i="1"/>
  <c r="K123" i="1"/>
  <c r="K122" i="1"/>
  <c r="K121" i="1"/>
  <c r="K120" i="1"/>
  <c r="K117" i="1"/>
  <c r="K116" i="1"/>
  <c r="K115" i="1"/>
  <c r="K112" i="1"/>
  <c r="K111" i="1"/>
  <c r="J118" i="1"/>
  <c r="K118" i="1" s="1"/>
  <c r="J113" i="1"/>
  <c r="K113" i="1" s="1"/>
  <c r="K110" i="1"/>
  <c r="K108" i="1"/>
  <c r="K107" i="1"/>
  <c r="K106" i="1"/>
  <c r="K105" i="1"/>
  <c r="K104" i="1"/>
  <c r="K103" i="1"/>
  <c r="K102" i="1"/>
  <c r="K101" i="1"/>
  <c r="K100" i="1"/>
  <c r="K99" i="1"/>
  <c r="K97" i="1"/>
  <c r="K96" i="1"/>
  <c r="K86" i="1"/>
  <c r="M86" i="1" s="1"/>
  <c r="K85" i="1"/>
  <c r="M84" i="1" s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M58" i="1" s="1"/>
  <c r="K55" i="1"/>
  <c r="M55" i="1" s="1"/>
  <c r="K57" i="1"/>
  <c r="M57" i="1" s="1"/>
  <c r="K56" i="1"/>
  <c r="M56" i="1" s="1"/>
  <c r="K54" i="1"/>
  <c r="K53" i="1"/>
  <c r="K52" i="1"/>
  <c r="K51" i="1"/>
  <c r="K50" i="1"/>
  <c r="M50" i="1" s="1"/>
  <c r="K49" i="1"/>
  <c r="K48" i="1"/>
  <c r="K47" i="1"/>
  <c r="K46" i="1"/>
  <c r="K45" i="1"/>
  <c r="K44" i="1"/>
  <c r="K43" i="1"/>
  <c r="K42" i="1"/>
  <c r="K41" i="1"/>
  <c r="K40" i="1"/>
  <c r="M40" i="1" s="1"/>
  <c r="K39" i="1"/>
  <c r="K38" i="1"/>
  <c r="K37" i="1"/>
  <c r="K35" i="1"/>
  <c r="K34" i="1"/>
  <c r="K20" i="1"/>
  <c r="K13" i="1"/>
  <c r="K25" i="1"/>
  <c r="K24" i="1"/>
  <c r="K19" i="1"/>
  <c r="K18" i="1"/>
  <c r="K23" i="1"/>
  <c r="K22" i="1"/>
  <c r="K21" i="1"/>
  <c r="K17" i="1"/>
  <c r="K16" i="1"/>
  <c r="K15" i="1"/>
  <c r="K14" i="1"/>
  <c r="K12" i="1"/>
  <c r="K11" i="1"/>
  <c r="K10" i="1"/>
  <c r="K9" i="1"/>
  <c r="M278" i="1" l="1"/>
  <c r="H61" i="4"/>
  <c r="J61" i="4" s="1"/>
  <c r="M465" i="1"/>
  <c r="K467" i="1"/>
  <c r="D43" i="4"/>
  <c r="I43" i="4" s="1"/>
  <c r="M251" i="1"/>
  <c r="M141" i="1"/>
  <c r="K147" i="1"/>
  <c r="M151" i="1"/>
  <c r="M24" i="1"/>
  <c r="D29" i="4"/>
  <c r="I29" i="4" s="1"/>
  <c r="M157" i="1"/>
  <c r="M215" i="1"/>
  <c r="M221" i="1" s="1"/>
  <c r="K221" i="1"/>
  <c r="M132" i="1"/>
  <c r="K92" i="1"/>
  <c r="M34" i="1"/>
  <c r="M9" i="1"/>
  <c r="K26" i="1"/>
  <c r="M20" i="1"/>
  <c r="M95" i="1"/>
  <c r="K192" i="1"/>
  <c r="M47" i="1"/>
  <c r="M51" i="1"/>
  <c r="M59" i="1"/>
  <c r="M121" i="1"/>
  <c r="M126" i="1"/>
  <c r="M116" i="1"/>
  <c r="M18" i="1"/>
  <c r="M13" i="1"/>
  <c r="M41" i="1"/>
  <c r="M45" i="1"/>
  <c r="M77" i="1"/>
  <c r="M81" i="1"/>
  <c r="M100" i="1"/>
  <c r="M111" i="1"/>
  <c r="D39" i="4"/>
  <c r="I39" i="4" s="1"/>
  <c r="D26" i="4"/>
  <c r="D48" i="4"/>
  <c r="I48" i="4" s="1"/>
  <c r="M39" i="1"/>
  <c r="D35" i="4"/>
  <c r="I35" i="4" s="1"/>
  <c r="M467" i="1" l="1"/>
  <c r="H60" i="4"/>
  <c r="I26" i="4"/>
  <c r="I53" i="4" s="1"/>
  <c r="I54" i="4" s="1"/>
  <c r="M192" i="1"/>
  <c r="Q192" i="1" s="1"/>
  <c r="M147" i="1"/>
  <c r="R147" i="1" s="1"/>
  <c r="Q221" i="1"/>
  <c r="K223" i="1"/>
  <c r="K817" i="1" s="1"/>
  <c r="M92" i="1"/>
  <c r="Q92" i="1" s="1"/>
  <c r="M26" i="1"/>
  <c r="Q26" i="1" s="1"/>
  <c r="H64" i="4" l="1"/>
  <c r="J60" i="4"/>
  <c r="J64" i="4" s="1"/>
  <c r="M223" i="1"/>
  <c r="M817" i="1" s="1"/>
</calcChain>
</file>

<file path=xl/sharedStrings.xml><?xml version="1.0" encoding="utf-8"?>
<sst xmlns="http://schemas.openxmlformats.org/spreadsheetml/2006/main" count="2952" uniqueCount="1367">
  <si>
    <t>№</t>
  </si>
  <si>
    <t>Ед. изм.</t>
  </si>
  <si>
    <t>Кол-во</t>
  </si>
  <si>
    <t>Цена за ед. с НДС, руб.</t>
  </si>
  <si>
    <t>Примечание</t>
  </si>
  <si>
    <t>Сумма затрат мероприятия</t>
  </si>
  <si>
    <t>Стоимость материала</t>
  </si>
  <si>
    <t>Вид ремонта (капитальный, текущий)</t>
  </si>
  <si>
    <t>Наименование материала (указать марку, параметры, характеристику, размеры, ГОСТ)</t>
  </si>
  <si>
    <t xml:space="preserve">Место установки (назначение) материала </t>
  </si>
  <si>
    <t>План мероприятий по подготовке объектов ГУП РТ "УК ТЭК 4" к работе в осенне-зимний период 2021-2022 годов</t>
  </si>
  <si>
    <t xml:space="preserve">Наименование мероприятия </t>
  </si>
  <si>
    <t xml:space="preserve">Наименование оборудования </t>
  </si>
  <si>
    <t xml:space="preserve">Основное оборудование </t>
  </si>
  <si>
    <t>Вспомогательное оборудование</t>
  </si>
  <si>
    <t xml:space="preserve">Электрооборудование </t>
  </si>
  <si>
    <t xml:space="preserve">Тепловые сети </t>
  </si>
  <si>
    <t>Итого по разделу</t>
  </si>
  <si>
    <t xml:space="preserve">Итого по разделу </t>
  </si>
  <si>
    <t>Способ выполнения работ (подряд или хоз.способ)</t>
  </si>
  <si>
    <t>Спецтехника</t>
  </si>
  <si>
    <t>Прочие</t>
  </si>
  <si>
    <t>Экспертиза промышленной безопасности</t>
  </si>
  <si>
    <t>шт</t>
  </si>
  <si>
    <t>КР</t>
  </si>
  <si>
    <t>Котлоагрегат 7</t>
  </si>
  <si>
    <t>Подряд</t>
  </si>
  <si>
    <t>Замена запорной арматуры</t>
  </si>
  <si>
    <t>Питательный трубопровод</t>
  </si>
  <si>
    <t>Хоз.способ</t>
  </si>
  <si>
    <t xml:space="preserve">Вентиля высокого давления 1С-7-1 или 1С-8-2  Ду80Ру10 МПа    </t>
  </si>
  <si>
    <t xml:space="preserve">Вентиля высокого давления 1С-7-1 или 1С-8-2  Ду50Ру10МПа   </t>
  </si>
  <si>
    <t>Вентиля высокого давления 1С-11-3М Ду20 Ру10 МПа</t>
  </si>
  <si>
    <t>Паропровод, дренажи котлов</t>
  </si>
  <si>
    <t xml:space="preserve">Вентиля высокого давления 1с-11-3М  Ду10 Ру10МПа </t>
  </si>
  <si>
    <t xml:space="preserve">Вентиля высокого давления 1с-11-3М Ду10 Ру10МПа </t>
  </si>
  <si>
    <t>На приборы КИПиА</t>
  </si>
  <si>
    <t>Смета</t>
  </si>
  <si>
    <t>ТР</t>
  </si>
  <si>
    <t>Котлоагрегат 6</t>
  </si>
  <si>
    <t>Замена запорной арматуры и водоуказательных колонок</t>
  </si>
  <si>
    <t>Барабан котла</t>
  </si>
  <si>
    <t>Котлоагрегат 8</t>
  </si>
  <si>
    <t>Ремонт обмуровки</t>
  </si>
  <si>
    <t xml:space="preserve">Жидкое стекло </t>
  </si>
  <si>
    <t xml:space="preserve">обмуровка котла </t>
  </si>
  <si>
    <t>л</t>
  </si>
  <si>
    <t>Участок Ак-Довуракский</t>
  </si>
  <si>
    <t>ЭПБ</t>
  </si>
  <si>
    <t>Котлоагрегат 6 (К-35-40)</t>
  </si>
  <si>
    <t>Подогреватели сетевой воды 1, 2, 3 (ПСВ 90-7-15)</t>
  </si>
  <si>
    <t xml:space="preserve">Сталь листовая с размерами 1500*6000*4 мм, ГОСТ 14637 (4 листа - 30 м2) </t>
  </si>
  <si>
    <t>Уголок 65*65 мм, ГОСТ 8509-72 (36 м)</t>
  </si>
  <si>
    <t xml:space="preserve">Асбест </t>
  </si>
  <si>
    <t xml:space="preserve">Цемент 50 кг - 1мешок </t>
  </si>
  <si>
    <t>м2</t>
  </si>
  <si>
    <t>т</t>
  </si>
  <si>
    <t xml:space="preserve">шт </t>
  </si>
  <si>
    <t xml:space="preserve">Приобретение материалов и оборудования для текущего ремонта вспомогательного оборудования цехов </t>
  </si>
  <si>
    <t>Било ЧК-233/5, материал марки 110Г13Л</t>
  </si>
  <si>
    <t>Уголок 50х50мм ГОСТ 8509-72 (60 м)</t>
  </si>
  <si>
    <t xml:space="preserve">Сталь листовая с размерами 1500*6000*5 мм,  ГОСТ (2 листа) </t>
  </si>
  <si>
    <t>Сталь листовая с размерами 1500*6000*4 мм,  ГОСТ (2 листа )</t>
  </si>
  <si>
    <t>Сталь листовая с размерами 1500*6000*3 мм,  ГОСТ (1 лист)</t>
  </si>
  <si>
    <t>Муфты упругие втулочно-пальцевые ГОСТ 21424-93 на вал СН (сетевого насоса) d= 90мм  на эл. двиг. d= 55 мм</t>
  </si>
  <si>
    <t>комплект (пара)</t>
  </si>
  <si>
    <t>Муфты упругие втулочно-пальцевые ГОСТ 21424-93 на вал Д-15,5 (дымосос) d= 90мм  на эл. двиг. d= 100мм</t>
  </si>
  <si>
    <t>Электроды ОК-46, д=4 мм</t>
  </si>
  <si>
    <t>кг</t>
  </si>
  <si>
    <t>Электроды ОК -46, д=3 мм</t>
  </si>
  <si>
    <t>Электроды наплавочные Т-590,   д= 4 мм</t>
  </si>
  <si>
    <t xml:space="preserve">кг </t>
  </si>
  <si>
    <t>Прокат круглый  ГОСТ 2590-88  D=120 мм из стали марки 45        (L= 6м)</t>
  </si>
  <si>
    <t>Задвижка стальная 30с99(64)нж, Ду 200 Ру 25</t>
  </si>
  <si>
    <t>Задвижка стальная 30с99(64)нж, Ду 150 Ру 25</t>
  </si>
  <si>
    <t>Задвижка стальная 30с99(64)нж, Ду 100 Ру 25</t>
  </si>
  <si>
    <t>Задвижка стальная 30с41нж, Ду 80 Ру 16</t>
  </si>
  <si>
    <t>Отвод на 90 гр. d=108 мм</t>
  </si>
  <si>
    <t>Круг чугунный D=350 мм, ГОСТ 1412-85</t>
  </si>
  <si>
    <t>Молотковые мельницы котлов</t>
  </si>
  <si>
    <t>Мельничные вентиляторы котлов</t>
  </si>
  <si>
    <t xml:space="preserve">Ремонт вспомогательных механизмов котлов </t>
  </si>
  <si>
    <t>МВ, ДС, ММТ, ПСУ,ДВ</t>
  </si>
  <si>
    <t>ДС</t>
  </si>
  <si>
    <t>СЭН-7</t>
  </si>
  <si>
    <t>ДС-8</t>
  </si>
  <si>
    <t xml:space="preserve">Расточка валов </t>
  </si>
  <si>
    <t>ПСВ</t>
  </si>
  <si>
    <t>Пылесистемы котлов</t>
  </si>
  <si>
    <t>Линия конденсата ПСВ</t>
  </si>
  <si>
    <t xml:space="preserve">Ремонт трубопровода конденсата </t>
  </si>
  <si>
    <t xml:space="preserve">Токарные работы </t>
  </si>
  <si>
    <t xml:space="preserve">Частичный ремонт газохода (от короба циклона до дымососа) </t>
  </si>
  <si>
    <t>Замена соединительных муфт</t>
  </si>
  <si>
    <t>Фильтра водоподготовки  (ФИПа)</t>
  </si>
  <si>
    <t xml:space="preserve">Ремонт пылепроводов </t>
  </si>
  <si>
    <t>Замена скребкового полотна</t>
  </si>
  <si>
    <t>ПСУ</t>
  </si>
  <si>
    <t xml:space="preserve">Замена сальников </t>
  </si>
  <si>
    <t>Сальниковая набивка асбестовая  АПР-31 с диаметром 14 мм, сквозного плетения, изготовленная по ГОСТ 5152-84</t>
  </si>
  <si>
    <t xml:space="preserve">Сальниковая набивка асбестовая  АПР-31 с диаметром 16 мм, сквозного плетения, изготовленная по ГОСТ 5152-84 </t>
  </si>
  <si>
    <t>Сальниковая набивка асбестовая АПР-31 с диаметром 12 мм, сквозного плетения, изготовленная по ГОСТ 5152-84</t>
  </si>
  <si>
    <t xml:space="preserve">Сальниковая набивка асбестовая АП-31 с диаметром 10 мм, многослойного плетения, изготовленная по ГОСТ 5152-84 </t>
  </si>
  <si>
    <t xml:space="preserve">Сальниковая набивка асбестовая АП-31 с диаметром 12 мм, многослойного плетения, изготовленная по ГОСТ 5152-84 </t>
  </si>
  <si>
    <t>Сальниковая набивка асбестовая АП-31 с диаметром 14 мм, многослойного плетения, изготовленная по ГОСТ 5152-84</t>
  </si>
  <si>
    <t xml:space="preserve">Сальниковая набивка асбестовая АП-31 с диаметром 6 мм, многослойного плетения, изготовленная по ГОСТ 5152-84 </t>
  </si>
  <si>
    <t xml:space="preserve">Сальниковая набивка асбестовая АП-31 с диаметром 8 мм, многослойного плетения, изготовленная по ГОСТ 5152-84 </t>
  </si>
  <si>
    <t xml:space="preserve">Сальниковая набивка асбестовая АГИ с диаметром 14 мм, многослойного плетения, изготовленная по ГОСТ 5152-84  </t>
  </si>
  <si>
    <t xml:space="preserve">Сальниковая набивка асбестовая АГИ с диаметром 16 мм, многослойного плетения, изготовленная по ГОСТ 5152-84  </t>
  </si>
  <si>
    <t xml:space="preserve">Сальниковая набивка асбестовая АГИ с диаметром 18 мм, многослойного плетения, изготовленная по ГОСТ 5152-84  </t>
  </si>
  <si>
    <t xml:space="preserve">Сальниковая набивка асбестовая АГИ с диаметром 20 мм, многослойного плетения, изготовленная по ГОСТ 5152-84  </t>
  </si>
  <si>
    <t xml:space="preserve">Сальниковая набивка асбестовая АГИ с диаметром 22 мм, многослойного плетения, изготовленная по ГОСТ 5152-84  </t>
  </si>
  <si>
    <t>Сальниковая набивка асбестовая АГИ с диаметром 24 мм, многослойного плетения, изготовленная по ГОСТ 5152-83</t>
  </si>
  <si>
    <t>Насосные агрегаты  и запорная арматура насосов</t>
  </si>
  <si>
    <t xml:space="preserve">Сальниковая набивка асбестовая АС с диаметром 8 мм, многослойного плетения, изготовленная по ГОСТ 5152-84  </t>
  </si>
  <si>
    <t xml:space="preserve">Сальниковая набивка асбестовая АС с диаметром 10 мм, многослойного плетения, изготовленная по ГОСТ 5152-84  </t>
  </si>
  <si>
    <t xml:space="preserve">Сальниковая набивка асбестовая АС с диаметром 12 мм, многослойного плетения, изготовленная по ГОСТ 5152-84  </t>
  </si>
  <si>
    <t xml:space="preserve">Сальниковая набивка асбестовая АС с диаметром 14 мм, многослойного плетения, изготовленная по ГОСТ 5152-84  </t>
  </si>
  <si>
    <t>Запорная и регулирующая арматура котлоагрегатов</t>
  </si>
  <si>
    <t>Ремонт фланцевых соединений</t>
  </si>
  <si>
    <t>Паронит общего назначения ПОН  ГОСТ 481-80  толщ. 2-2,5 мм</t>
  </si>
  <si>
    <t>Болт М16х1,25х70/40 с неполной резьбой  ГОСТ7798-70</t>
  </si>
  <si>
    <t>Болт М16х1,25х100/60  с неполной резьбой  ГОСТ 7805 (7798)-70</t>
  </si>
  <si>
    <t xml:space="preserve">Гайка М16х1,25,  ГОСТ 5915-70 </t>
  </si>
  <si>
    <t>Сосуды и арматура</t>
  </si>
  <si>
    <t>Ремонт системы аспирации</t>
  </si>
  <si>
    <t xml:space="preserve">Труба вентиляционная гибкая шахтная 1В ТВГШС-0,21×10 - ГОСТ Р 54772-2011             </t>
  </si>
  <si>
    <t xml:space="preserve">Труба вентиляционная гибкая шахтная 1В ТВГШС-0,3×10 - ГОСТ Р 54772-2011          </t>
  </si>
  <si>
    <t xml:space="preserve">Труба вентиляционная гибкая шахтная 1В ТВГШС-0,4×10 - ГОСТ Р 54772-2011                                           </t>
  </si>
  <si>
    <t>Топливоподача</t>
  </si>
  <si>
    <t>Ремонт дробильной установки</t>
  </si>
  <si>
    <t>Решетки колосниковые на дробилку СМ-170Б</t>
  </si>
  <si>
    <t xml:space="preserve">Дробилка молотковая СМ-170Б </t>
  </si>
  <si>
    <t>Замена рабочего колеса и вала</t>
  </si>
  <si>
    <t>м</t>
  </si>
  <si>
    <t>Подрядная оганизация</t>
  </si>
  <si>
    <t>Подрядная организация</t>
  </si>
  <si>
    <t>от ТК-53 до ТК-56</t>
  </si>
  <si>
    <t xml:space="preserve"> Трубопроводы по ул. Юбилейная  </t>
  </si>
  <si>
    <t>от ТК-9 до ТК-10</t>
  </si>
  <si>
    <t xml:space="preserve">Трубопроводы по ул. Центральная  </t>
  </si>
  <si>
    <t>Минеральная вата толщиной 50мм   (рулон 14м)</t>
  </si>
  <si>
    <t>Плита перекрытия П13-11б 2990х1480х120</t>
  </si>
  <si>
    <t>рул</t>
  </si>
  <si>
    <t xml:space="preserve">Трубопроводы по ул. Маяковского  </t>
  </si>
  <si>
    <t>Отвод стальной Д=80 мм, на 90 градусов ГОСТ 17375 – 2001</t>
  </si>
  <si>
    <t>Отвод стальной Д=50 мм, на 90 градусов ГОСТ 17375 – 2001</t>
  </si>
  <si>
    <t xml:space="preserve">Вентиль Д=50мм ГОСТ 9086-74 </t>
  </si>
  <si>
    <t xml:space="preserve">Сгон Д=50мм ГОСТ8969-75 </t>
  </si>
  <si>
    <t>Сгон Д=20мм ГОСТ8969-75</t>
  </si>
  <si>
    <t>Кузбасс лак (50 л)</t>
  </si>
  <si>
    <t>Плита перекрытия П8-8 2990х1160х100</t>
  </si>
  <si>
    <t>от ТК-58 до ТК-54</t>
  </si>
  <si>
    <t>Трубопроводы детского сада "Сказка"</t>
  </si>
  <si>
    <t>Отвод стальной Д=76 мм, на 90 градусов ГОСТ 17375 – 2001</t>
  </si>
  <si>
    <t>Кран LD шаровый Ду80  КШ.Ц.Ф. Ру16</t>
  </si>
  <si>
    <t xml:space="preserve">Кузбасс лак </t>
  </si>
  <si>
    <t>от ТК-47 до ввода в здание д/с</t>
  </si>
  <si>
    <t>Трубопроводы детского сада "Светлячок"</t>
  </si>
  <si>
    <t>от ТК-10Б до ввода в здание д/с</t>
  </si>
  <si>
    <t>Трубопроводы МКД ул. Центральная 13</t>
  </si>
  <si>
    <t>от ТК-33 до ввода в дом</t>
  </si>
  <si>
    <t>Трубопроводы по ул. Чкалова</t>
  </si>
  <si>
    <t>Кузбасс лак (10 л)</t>
  </si>
  <si>
    <t>от ТК-17 Б до ТК-17 В</t>
  </si>
  <si>
    <t>Трубопроводы школы №3 по ул. Центральная</t>
  </si>
  <si>
    <t>Отвод стальной Д=159 мм, на 90 градусов ГОСТ 17375 – 2001</t>
  </si>
  <si>
    <t>Кран LD шаровый Ду150  КШ.Ц.Ф. Ру16</t>
  </si>
  <si>
    <t>Кран LD шаровый Ду32  КШ.Ц.Ф. Ру16</t>
  </si>
  <si>
    <t xml:space="preserve">Сгон стальной Д= 32 мм, ГОСТ8969-75 </t>
  </si>
  <si>
    <t>от ТК-12 до ввода в здание школы</t>
  </si>
  <si>
    <t xml:space="preserve">Магистральный трубопровод по ул. Юбилейная </t>
  </si>
  <si>
    <t>Задвижка стальная 30с99(64)нж, Ду 250 Ру 25</t>
  </si>
  <si>
    <t>Замена запорной арматуры в тепловой камере D=250мм</t>
  </si>
  <si>
    <t>ТК-50</t>
  </si>
  <si>
    <t>Замена трубопроводов тепловой сети 150 м в 2-трубном исполнении (Д= 273 мм)</t>
  </si>
  <si>
    <t>Замена трубопроводов тепловой сети 100 м в 2-трубном исполнении (D=219 мм)</t>
  </si>
  <si>
    <t>Замена трубопроводов тепловой сети 140 м в 2-трубном исполнении (D=89 мм)</t>
  </si>
  <si>
    <t>Замена трубопроводов тепловой сети 20 м в 2-трубном исполнении (D=76 мм)</t>
  </si>
  <si>
    <t>Замена трубопроводов тепловой сети 80 м в 2-трубном исполнении (D=76 мм)</t>
  </si>
  <si>
    <t>Замена трубопроводов тепловой сети 45 м в 2-трубном исполнении (D=76 мм)</t>
  </si>
  <si>
    <t>Замена трубопроводов тепловой сети 25 м в 2-трубном исполнении (D=76 мм)</t>
  </si>
  <si>
    <t>Замена трубопроводов тепловой сети 67 м в 2-трубном исполнении (D=159 мм)</t>
  </si>
  <si>
    <t>Хоз. способ</t>
  </si>
  <si>
    <t>Хоз. Способ</t>
  </si>
  <si>
    <t>Реконструкция релейной защиты и автоматики</t>
  </si>
  <si>
    <t>ф.1-04 и ф.1-09</t>
  </si>
  <si>
    <t>Ремонт ВЛ 6 кВ</t>
  </si>
  <si>
    <t>от КРУ-1/6 кВ до пс "Ак-Довурак-220 кВ"</t>
  </si>
  <si>
    <t xml:space="preserve">Автоматический выключатель 25А АЕ1031  </t>
  </si>
  <si>
    <t>Кабель АВВГ 3*2,5</t>
  </si>
  <si>
    <t>Пускатель ПМЕ-211  40А</t>
  </si>
  <si>
    <t>Автоматический выключатель 50А АП50А</t>
  </si>
  <si>
    <t xml:space="preserve">Масло трансформаторное (Бочок 200 л) </t>
  </si>
  <si>
    <t>Электрооборудования цехов</t>
  </si>
  <si>
    <t>Восстановительный ремонт электрооборудования цехов</t>
  </si>
  <si>
    <t>Производственные цеха</t>
  </si>
  <si>
    <t>Багерный насос</t>
  </si>
  <si>
    <t>Замена электродвигателя</t>
  </si>
  <si>
    <t>Подпиточный насос</t>
  </si>
  <si>
    <t>ПЭН</t>
  </si>
  <si>
    <t xml:space="preserve">Молотковая дробилка </t>
  </si>
  <si>
    <t xml:space="preserve">Тельфер </t>
  </si>
  <si>
    <t>Замена электродвигателя на ход</t>
  </si>
  <si>
    <t>Кран балка</t>
  </si>
  <si>
    <t xml:space="preserve">Кран балка </t>
  </si>
  <si>
    <t>Замена электродвигателя на майна-вира</t>
  </si>
  <si>
    <t>АИР 315 MS 132кВт 1000 об/мин</t>
  </si>
  <si>
    <t>5АМ 225 М4 УЗ 55кВт 1500 об/м</t>
  </si>
  <si>
    <t>АОЛ 22-4 0,4кВт 1400 об/мин</t>
  </si>
  <si>
    <t>Электродвигатель А4-400Х-8У3 6000 В 250 кВт 750 об/мин</t>
  </si>
  <si>
    <t>Электродвигатель КГ 2008-6 3 кВт 1000 об/мин</t>
  </si>
  <si>
    <t>Соответствующее оборудованию</t>
  </si>
  <si>
    <t>Экскаватор колесный</t>
  </si>
  <si>
    <t>Приобретение</t>
  </si>
  <si>
    <t>В связи с физическим износом</t>
  </si>
  <si>
    <t>Паропровод 309-п</t>
  </si>
  <si>
    <t xml:space="preserve">Система отопления здания </t>
  </si>
  <si>
    <t>Реконструкция системы отопления с парового на водяное</t>
  </si>
  <si>
    <t>Здания склада, мех цеха и деаэраторной</t>
  </si>
  <si>
    <t>Ремонт кровли общей площадью 600 кв.м.</t>
  </si>
  <si>
    <t>Система освещения периметра</t>
  </si>
  <si>
    <t>Реконструкция системы освещения периметра</t>
  </si>
  <si>
    <t>Система освещения производственных помещений</t>
  </si>
  <si>
    <t>Внедрение системы аварийного освещения</t>
  </si>
  <si>
    <t>Глубинный насос</t>
  </si>
  <si>
    <t>Приобретение насосов ЭЦВ</t>
  </si>
  <si>
    <t>Газоходы котла 6</t>
  </si>
  <si>
    <t xml:space="preserve">Отвод на 45 гр. d=273мм </t>
  </si>
  <si>
    <t>Указатель уровня жидкости Т-29бм, Ду=20, Ру=64 кгс/см2</t>
  </si>
  <si>
    <t>Закрепительные втулки для подшипников ГОСТ 24208-80 Н 2336  (В636)</t>
  </si>
  <si>
    <t>Светильник аварийный светодиодный IP65 TL-ЭКО-236 35s 35 Вт БАП</t>
  </si>
  <si>
    <t>Производственные помещения</t>
  </si>
  <si>
    <t>Кабель АВВГ 2х1,5 однопроволочный</t>
  </si>
  <si>
    <t>Розетка для одной вилки</t>
  </si>
  <si>
    <t xml:space="preserve">Участок Шагонарский </t>
  </si>
  <si>
    <t>Основное оборудование</t>
  </si>
  <si>
    <t>Котлоагрегат 2</t>
  </si>
  <si>
    <t>Замена импульсного вариатора</t>
  </si>
  <si>
    <t>Вариатор импульсный  Т67.33.000 АСБ</t>
  </si>
  <si>
    <t>Фронтальная часть котла</t>
  </si>
  <si>
    <t>Замена забрасывателя ПМЗ</t>
  </si>
  <si>
    <t>Забрасыватель ПМЗ-600</t>
  </si>
  <si>
    <t>комплект</t>
  </si>
  <si>
    <t>Котлоагрегат 3</t>
  </si>
  <si>
    <t>Боковая щека (плита)  топка ТЧЗМ 2,5*6,5 и ТЧЗМ-2,7*5,6</t>
  </si>
  <si>
    <t>Топка котла</t>
  </si>
  <si>
    <t>Котлоагрегат 4</t>
  </si>
  <si>
    <t xml:space="preserve">Замена цепей </t>
  </si>
  <si>
    <t>Комплект цепей 2,7*6,5, Т246.02.010</t>
  </si>
  <si>
    <t xml:space="preserve">Замена колосников </t>
  </si>
  <si>
    <t>Колосники Т220.13.001</t>
  </si>
  <si>
    <t>Замена пальцев держателя</t>
  </si>
  <si>
    <t>Пальцы держателя 60.30.10</t>
  </si>
  <si>
    <t>Замена держателя среднего</t>
  </si>
  <si>
    <t xml:space="preserve">Держатель средний </t>
  </si>
  <si>
    <t>Замена держателя крайнего правого</t>
  </si>
  <si>
    <t>Держатель крайний правый</t>
  </si>
  <si>
    <t>Замена держателя крайнего левого</t>
  </si>
  <si>
    <t>Держатель крайний левый</t>
  </si>
  <si>
    <t>Котлоагрегат 5</t>
  </si>
  <si>
    <t>Экспертиза промышленой безопасности</t>
  </si>
  <si>
    <t xml:space="preserve">В соответствии с графиком </t>
  </si>
  <si>
    <t>Котлоагрегат №3</t>
  </si>
  <si>
    <t xml:space="preserve">Экспертиза промышленной безопасности </t>
  </si>
  <si>
    <t>Экспертная организация</t>
  </si>
  <si>
    <t>Котлоагрегат №4</t>
  </si>
  <si>
    <t>Котлоагрегат №5</t>
  </si>
  <si>
    <t xml:space="preserve">Трубопровод пара от котлов КЕ-25-14С до РОУ </t>
  </si>
  <si>
    <t>Система ШЗУ котлов 4 и 5</t>
  </si>
  <si>
    <t>Замена редуктора ШЗУ котлов 4 и 5</t>
  </si>
  <si>
    <t>Конвейер топливоподачи</t>
  </si>
  <si>
    <t>Замена редуктора конвейерной ленты</t>
  </si>
  <si>
    <t>Редуктор РМ-500 (конвейерной ленты топливоподачи)</t>
  </si>
  <si>
    <t>пара</t>
  </si>
  <si>
    <t>ДС-2 и ДС-4</t>
  </si>
  <si>
    <t>Фильтры ХВО</t>
  </si>
  <si>
    <t>Насос сырой воды</t>
  </si>
  <si>
    <t>Полная замена насоса с электродвигателем</t>
  </si>
  <si>
    <t>Насос сырой воды К160-30 с электродвигателем 30 кВт, 1450 об/мин</t>
  </si>
  <si>
    <t>Глубинный насос скважины №2</t>
  </si>
  <si>
    <t>Замена ГН</t>
  </si>
  <si>
    <t>Насос скважинный погружной ЭЦВ 10-160-100</t>
  </si>
  <si>
    <t>Дробильная установка</t>
  </si>
  <si>
    <t>Замена дробильной установки</t>
  </si>
  <si>
    <t>Щековая дробилка</t>
  </si>
  <si>
    <t>Барабаны конвейеров</t>
  </si>
  <si>
    <t>Замена соединительных муфт на барабане конвейеров</t>
  </si>
  <si>
    <t>Муфта соединительная барабана конвейера для топливоподачи</t>
  </si>
  <si>
    <t>Сетевой электронасос</t>
  </si>
  <si>
    <t>Замена соединительных муфт сетевого насоса</t>
  </si>
  <si>
    <t>Муфта сетевого насоса СЭ-1250-70-11 в комплекте</t>
  </si>
  <si>
    <t xml:space="preserve">пара </t>
  </si>
  <si>
    <t>Шкив на ПМЗ-600</t>
  </si>
  <si>
    <t>Циркуляционная линия</t>
  </si>
  <si>
    <t>Установка фильтров</t>
  </si>
  <si>
    <t>Фильтр самопромывной механической очистки ФСМОк 600-200-0,1, Ду=200 мм</t>
  </si>
  <si>
    <t>Восточная сторона циркводовода</t>
  </si>
  <si>
    <t>Фильтр самопромывной механической очистки ФСМОк 600-200-0,2, Ду = 150 мм</t>
  </si>
  <si>
    <t>Западная сторона циркводовода</t>
  </si>
  <si>
    <t xml:space="preserve"> Трубопроводы дома по ул. Дружбы 59а </t>
  </si>
  <si>
    <t>Замена трубопроводов тепловой сети протяженностью 170 м. в 2-трубном исполнении</t>
  </si>
  <si>
    <t xml:space="preserve"> Трубопроводы дома по ул. Горная</t>
  </si>
  <si>
    <t>Трансформаторы собственных нужд 10/0,4 кВ</t>
  </si>
  <si>
    <t>Замена автоматических выключателей на стороне 0,4 кВ</t>
  </si>
  <si>
    <t>Выключатель автоматический ВА-45 2000/1600 3P 50кА стационарный EKF PROxima</t>
  </si>
  <si>
    <t>РУСН-10/0,4 кВ</t>
  </si>
  <si>
    <t>Дымососы</t>
  </si>
  <si>
    <t>Приобретение электродвигателей</t>
  </si>
  <si>
    <t>Электродвигатель 160 кВт, 1000 об/мин, 0,4 кВ, на лапах, с вентиляторным охлаждением, типа АИР</t>
  </si>
  <si>
    <t>Резерв</t>
  </si>
  <si>
    <t>Дутьевой вентилятор</t>
  </si>
  <si>
    <t>Электродвигатель 40 кВт, 1000 об/мин, 0,4 кВ, на лапах, с вентиляторным охлаждением, типа АИР</t>
  </si>
  <si>
    <t>Электродвигатель 30 кВт, 1500 об/мин, 0,4 кВ, на лапах, с вентиляторным охлаждением, типа АИР</t>
  </si>
  <si>
    <t>ШЗУ</t>
  </si>
  <si>
    <t>Электродвигатель 11 кВт, 750 об/мин, 0,4 кВ, на лапах, с вентиляторным охлаждением, типа АИР</t>
  </si>
  <si>
    <t>Решетка</t>
  </si>
  <si>
    <t>Электродвигатель 5,5 кВт, 1000 об/мин, 0,4 кВ, на лапах, с вентиляторным охлаждением, типа АИР</t>
  </si>
  <si>
    <t>Конденсатный насос</t>
  </si>
  <si>
    <t>Электродвигатель 11 кВт, 1500 об/мин, 0,4 кВ, на лапах, с вентиляторным охлаждением, типа АИР</t>
  </si>
  <si>
    <t>ПМЗ</t>
  </si>
  <si>
    <t>Электродвигатель 3 кВт, 1000 об/мин, 0,4 кВ, на лапах, с вентиляторным охлаждением, типа АИР</t>
  </si>
  <si>
    <t>Тельфер сетевых насосов</t>
  </si>
  <si>
    <t>Кабельные линии котлового электрооборудования</t>
  </si>
  <si>
    <t>Замена кабельных линий</t>
  </si>
  <si>
    <t>Кабель АВВГ 3х3 мм2</t>
  </si>
  <si>
    <t>Котельная</t>
  </si>
  <si>
    <t>Автоматический выключатель</t>
  </si>
  <si>
    <t>Приобретение автоматического выключателя</t>
  </si>
  <si>
    <t>Выключатель автоматический А37 96 КУ8 0,4 кВ 630 А</t>
  </si>
  <si>
    <t>резерв</t>
  </si>
  <si>
    <t xml:space="preserve">Здание котельной </t>
  </si>
  <si>
    <t>Ремонт кровли здания согласно предписанию (1200 м2)</t>
  </si>
  <si>
    <t>Линокром ТПП серый сланец  (верхний слой)</t>
  </si>
  <si>
    <t>Линокром ТКП (нижний слой)</t>
  </si>
  <si>
    <t>Сетка для стяжки кровли (укладосчная) 100*100 мм</t>
  </si>
  <si>
    <t>Цемент</t>
  </si>
  <si>
    <t>Ремонт стен здания котельной</t>
  </si>
  <si>
    <t xml:space="preserve">м2 </t>
  </si>
  <si>
    <t xml:space="preserve">Крепежные саморезы для сэндвич панелей </t>
  </si>
  <si>
    <t>Дымовая труба</t>
  </si>
  <si>
    <t>Ремонт освещения и лестницы</t>
  </si>
  <si>
    <t>Периметр котельной</t>
  </si>
  <si>
    <t>Проведение работ по освещению периметра котельной (предписание)</t>
  </si>
  <si>
    <t>Оборудование топливоподача</t>
  </si>
  <si>
    <t>Приобретение материалов для отделения топливоподачи</t>
  </si>
  <si>
    <t>Болт Ø 10 СТ20пс, ГОСТ 7798-70</t>
  </si>
  <si>
    <t>Болт Ø 12 СТ20пс, ГОСТ 7798-70</t>
  </si>
  <si>
    <t>Болт Ø 16 СТ20пс, ГОСТ 7798-70</t>
  </si>
  <si>
    <t>Болт Ø 18 СТ20пс, ГОСТ 7798-70</t>
  </si>
  <si>
    <t>Болт Ø 20 СТ20пс, ГОСТ 7798-70</t>
  </si>
  <si>
    <t>Гайка шестигранная марки М10х2 из стали Ст.20кп, изготовленная по ГОСТ 5927-70</t>
  </si>
  <si>
    <t>Гайка шестигранная марки М12*2 из стали Ст.20кп, изготовленная по ГОСТ 5927-70</t>
  </si>
  <si>
    <t>Гайка шестигранная марки М16х2 из стали Ст.20кп, изготовленная по ГОСТ 5927-70</t>
  </si>
  <si>
    <t>Гайка шестигранная марки М18*2 из стали Ст.20кп, изготовленная по ГОСТ 5927-70</t>
  </si>
  <si>
    <t>Гайка шестигранная марки М20*2 из стали Ст.20кп, изготовленная по ГОСТ 5927-70</t>
  </si>
  <si>
    <t>Резина техническая ТМКЩ 4 мм, ГОСТ 7338-90</t>
  </si>
  <si>
    <t>Резина техническая ТМКЩ 5 мм, ГОСТ 7338-90</t>
  </si>
  <si>
    <t>Паронит 0,5; 2; 4; 5 мм</t>
  </si>
  <si>
    <t>Электроды ОК-46,  Ø3;4 мм</t>
  </si>
  <si>
    <t>Все котельные установки</t>
  </si>
  <si>
    <t>Приобретение материалов для ремонта вспомогательного оборудования (Дополнение)</t>
  </si>
  <si>
    <t xml:space="preserve">Сталь листовая горячекатаная с размерами 1200×6000×20 мм, из стали марки Ст3пс, изготовленная по ГОСТ 14637-89 (2 листа) </t>
  </si>
  <si>
    <t xml:space="preserve">держатель для фронтального коллектора котлов </t>
  </si>
  <si>
    <t>Сталь листовая горячекатаная с размерами 1500×6000×4 мм, из стали марки Ст3пс, изготовленная по ГОСТ 14637-89 (28 листов)</t>
  </si>
  <si>
    <t xml:space="preserve">для газоходов котла 2,3,4,5 от котлов до БЦУ, частично наружная часть газохода котла № 2 </t>
  </si>
  <si>
    <t>Предохранительные клапана Ø20;50;100 мм</t>
  </si>
  <si>
    <t>Шестигранник 14 Ст.35,  ГОСТ2879</t>
  </si>
  <si>
    <t>Шестигранник 17 Ст.35,  ГОСТ2879</t>
  </si>
  <si>
    <t>Шестигранник 19 Ст.35,  ГОСТ2879</t>
  </si>
  <si>
    <t>Шестигранник 22 Ст.35,  ГОСТ2879</t>
  </si>
  <si>
    <t>Шестигранник 24, Ст.35,  ГОСТ2879</t>
  </si>
  <si>
    <t>Шестигранник 27, Ст.35,  ГОСТ2879</t>
  </si>
  <si>
    <t xml:space="preserve">Круг стальной Д40 Ст.3, ГОСТ 2590-88 </t>
  </si>
  <si>
    <t>Круг стальной Д50, Ст.3, ГОСТ 2590-89</t>
  </si>
  <si>
    <t xml:space="preserve">Круг стальной Д70  Ст.3, ГОСТ 2590-88 </t>
  </si>
  <si>
    <t>Кран шаровый Д100</t>
  </si>
  <si>
    <t>Кран шаровый внутр резьб.соед.Д20</t>
  </si>
  <si>
    <t>Кран шаровый внутр резьб.соед.Д15</t>
  </si>
  <si>
    <t>Участок Чаа-Хольский</t>
  </si>
  <si>
    <t>ДС-3</t>
  </si>
  <si>
    <t>Замена дымососа</t>
  </si>
  <si>
    <t xml:space="preserve">Центробежный дымосос ДН -12,5 *1000 об/мин,  в сборе с улиткой, рабочим колесом, вал и соединительная упругая втулочно-пальцевая муфта), сварная рама. Направление вращение - левое </t>
  </si>
  <si>
    <t>шт.</t>
  </si>
  <si>
    <t>ДВ-3</t>
  </si>
  <si>
    <t>Замена вентилятора</t>
  </si>
  <si>
    <t>Вентилятор ВДН 9 х 1000, в сборе  рабочее колесо, корпус (улитка), всасывающий патрубок, направляющий аппарат, постамент. Направление вращения левое</t>
  </si>
  <si>
    <t>СЭН-3</t>
  </si>
  <si>
    <t>Трубопроводы по ул. Сундуй Андрея</t>
  </si>
  <si>
    <t>Замена трубопроводов тепловой сети протяженностью 350 м. в 2х трубном исполнении</t>
  </si>
  <si>
    <t>от ТК-3 до ТК-7</t>
  </si>
  <si>
    <t>Замена трубопроводов тепловой сети протяженностью 150 м. в 2х трубном исполнении</t>
  </si>
  <si>
    <t>от ТК-22 до ТК-24</t>
  </si>
  <si>
    <t>Двигатель Асинхронный тип АИР 30 кВт 975 об/мин</t>
  </si>
  <si>
    <t>Двигатель Асинхронный тип АИР 15 кВт 965 об/мин</t>
  </si>
  <si>
    <t>Двигатель Асинхронный тип АИР 11 кВт 965 об/мин</t>
  </si>
  <si>
    <t>Двигатель Асинхронный тип АИР 7,5 кВт 1450 об/мин</t>
  </si>
  <si>
    <t xml:space="preserve">Двигатель Асинхронный тип АИР 2,2 кВт 935 об/мин </t>
  </si>
  <si>
    <t xml:space="preserve">Проведение работ по освещению периметра котельной </t>
  </si>
  <si>
    <t xml:space="preserve">Смета </t>
  </si>
  <si>
    <t>Литол, смазка литол-24 по ГОСТ 21150-87</t>
  </si>
  <si>
    <t>Приобретение тельфера с электродвигателем</t>
  </si>
  <si>
    <t>Котлоагрегат № 4</t>
  </si>
  <si>
    <t xml:space="preserve">Замена экранных труб </t>
  </si>
  <si>
    <t>Вентиль запорный муфтовый латунный Д=32мм, на давление 1,6 МПа, ГОСТ 9086-74</t>
  </si>
  <si>
    <t>уточняется</t>
  </si>
  <si>
    <t xml:space="preserve">уточняется </t>
  </si>
  <si>
    <t xml:space="preserve">Топка котла </t>
  </si>
  <si>
    <t xml:space="preserve">уточняется цена </t>
  </si>
  <si>
    <t xml:space="preserve">уточняется маркировка и цена </t>
  </si>
  <si>
    <t>ДН -17</t>
  </si>
  <si>
    <t xml:space="preserve">Соединительня упругая втулочно-пальцевая муфта к дымососу ДН-17 (диаметры) </t>
  </si>
  <si>
    <t xml:space="preserve">Уточняется маркировка и цена </t>
  </si>
  <si>
    <t xml:space="preserve">Подрядная работа </t>
  </si>
  <si>
    <t xml:space="preserve">Скорлупа полная теплоизоляционная Д108, с защитной фольгированной оболочкой  </t>
  </si>
  <si>
    <t xml:space="preserve">Хоз способ </t>
  </si>
  <si>
    <t xml:space="preserve">Хоз. Способ </t>
  </si>
  <si>
    <t>Трос стальной с графитовой смазкой нити, диамтером Д=18 мм, ГОСТ 2688-80</t>
  </si>
  <si>
    <t xml:space="preserve">Подряд </t>
  </si>
  <si>
    <t xml:space="preserve">Задвижка клиновая чугунная фланцевая с Д200, на условное давление 1,6 Мпа </t>
  </si>
  <si>
    <t xml:space="preserve">Задвижка клиновая чугунная фланцевая с Д159, на условное давление 1,6 Мпа </t>
  </si>
  <si>
    <t xml:space="preserve">Скорлупа полная теплоизоляционная Д273, с защитной фольгированной оболочкой  </t>
  </si>
  <si>
    <t>Участок Хову-Аксынский</t>
  </si>
  <si>
    <t>Котлоагрегат 1</t>
  </si>
  <si>
    <t>Замена элементов котла указанных в материалах</t>
  </si>
  <si>
    <t>Колосник ведомый Т24.06.001</t>
  </si>
  <si>
    <t xml:space="preserve">Колосник ведущий правый Т.24.06.004 </t>
  </si>
  <si>
    <t>Колосник ведущий левый Т.24.06.003</t>
  </si>
  <si>
    <t xml:space="preserve">Колосник крайний левый Т328.01.03.00-001 </t>
  </si>
  <si>
    <t>Колосник крайний правый Т328.01.03.00-002</t>
  </si>
  <si>
    <t>Штырь Т68.03.001</t>
  </si>
  <si>
    <t>Колосник ведомый широкий Т24.06.001-01</t>
  </si>
  <si>
    <t>Уплотнение Т24.01.121</t>
  </si>
  <si>
    <t xml:space="preserve">Уплотнение среднее Т24.01.125 </t>
  </si>
  <si>
    <t xml:space="preserve">Уплотнение переднее левое Т24.01.129 </t>
  </si>
  <si>
    <t>Уплотнение переднее правое Т24.01.205</t>
  </si>
  <si>
    <t>Асбест</t>
  </si>
  <si>
    <t>Обмуровка котла</t>
  </si>
  <si>
    <t>Цемент порланд, 1 мешок 50 кг</t>
  </si>
  <si>
    <t>Огнеупорный кирпич</t>
  </si>
  <si>
    <t>поддон</t>
  </si>
  <si>
    <t>Арматура, д= 8 мм</t>
  </si>
  <si>
    <t xml:space="preserve">Лист металический 4 мм, ст3ПС5, размеры 1500*6000*4, ГОСТ 14637 </t>
  </si>
  <si>
    <t>Уголок стальной равнополочный 5, размеры 50*50*5, ГОСТ 8509-93</t>
  </si>
  <si>
    <t>Асбестовый лист, толщиной 4 мм, размерами 100*100</t>
  </si>
  <si>
    <t>Дробилка</t>
  </si>
  <si>
    <t>Замена винтов</t>
  </si>
  <si>
    <t>Винты ВДП-15 1Д.00.02.000</t>
  </si>
  <si>
    <t>дробилка</t>
  </si>
  <si>
    <t>Винты ВДП-15 1Д.00.02.000-01</t>
  </si>
  <si>
    <t>Задвижка стальная клиновая 30с99нж с условным диаметром 150 мм, на условное давление 2,5 МПа, с фланцевым исполнением ГОСТ 9698-86</t>
  </si>
  <si>
    <t>котлы по сетевой воде</t>
  </si>
  <si>
    <t xml:space="preserve">Дисковый затвор с условным диаметров 300 мм, на условное давление 2,5 Мпа, с фланщевым исполнением (с редуктором) </t>
  </si>
  <si>
    <t>подача, обратка и тепловые камеры</t>
  </si>
  <si>
    <t xml:space="preserve">Дисковый затвор с условным диаметров 200 мм, на условное давление 2,5 Мпа, с фланщевым исполнением (с редуктором)  </t>
  </si>
  <si>
    <t>сэн нагнетание</t>
  </si>
  <si>
    <t xml:space="preserve">Дисковый затвор с условным диаметров 150 мм, на условное давление 2,5 Мпа, с фланщевым исполнением (с редуктором)  </t>
  </si>
  <si>
    <t>сэн всас</t>
  </si>
  <si>
    <t>Обратный клапан Ду= 50 мм резьб соед 16кгс/см2</t>
  </si>
  <si>
    <t>подпитка</t>
  </si>
  <si>
    <t>Обратный клапан Ду= 40 мм резьб соед 16кгс/см3</t>
  </si>
  <si>
    <t>эжектир.</t>
  </si>
  <si>
    <t>Обратный клапан Ду= 32 мм резьб соед 16кгс/см4</t>
  </si>
  <si>
    <t>отопление</t>
  </si>
  <si>
    <t>метр</t>
  </si>
  <si>
    <t>Сгон стальной с диаметром 40 мм ГОСТ 8969-75</t>
  </si>
  <si>
    <t>дренажи и возд</t>
  </si>
  <si>
    <t>Сгон стальной с диаметром 50 мм ГОСТ 8969-76</t>
  </si>
  <si>
    <t>Сгон стальной с диаметром 32 мм ГОСТ 8969-77</t>
  </si>
  <si>
    <t>Сгон стальной с диаметром 20 мм ГОСТ 8969-78</t>
  </si>
  <si>
    <t>Сгон стальной с диаметром 15 мм ГОСТ 8969-79</t>
  </si>
  <si>
    <t>хвс в сторону котельной в тк за материалами</t>
  </si>
  <si>
    <t xml:space="preserve">Фланец стальной с Д=25 мм </t>
  </si>
  <si>
    <t>дренажи</t>
  </si>
  <si>
    <t xml:space="preserve">Фланец стальной с Д=20 мм </t>
  </si>
  <si>
    <t xml:space="preserve">Кран стальной шаровый с условным диаметром 25 мм, на условное давление 1,6 МПа, с фланцевым исполнением, </t>
  </si>
  <si>
    <t xml:space="preserve">Кран стальной шаровый с условным диаметром 20 мм, на условное давление 1,6 МПа, с фланцевым исполнением, </t>
  </si>
  <si>
    <t>сэн</t>
  </si>
  <si>
    <t>Кран 3-х ходовый киповский Д= 15 мм</t>
  </si>
  <si>
    <t>манометр</t>
  </si>
  <si>
    <t>обратка</t>
  </si>
  <si>
    <t>Насосы и электродвигатели</t>
  </si>
  <si>
    <t>Замена подшипников</t>
  </si>
  <si>
    <t>Однорядный шариковый подшипник 308</t>
  </si>
  <si>
    <t>Двухрядный роликовый подшипник 22316</t>
  </si>
  <si>
    <t>дс</t>
  </si>
  <si>
    <t>Двухрядный шариковый подшипник 607</t>
  </si>
  <si>
    <t>забрасыватель</t>
  </si>
  <si>
    <t>Однорядный шариковый закрытый подшипник 308</t>
  </si>
  <si>
    <t>Двухрядный роликовый подшипник 3613</t>
  </si>
  <si>
    <t>Однорядный роликовый подшипник 315</t>
  </si>
  <si>
    <t>Подшипники 314 роликовый однорядный, ГОСТ 8328-75</t>
  </si>
  <si>
    <t>Подшипники 313 шариковый однорядный, ГОСТ 8328-75</t>
  </si>
  <si>
    <t>Подшипники 313 роликовый однорядный, ГОСТ 8328-75</t>
  </si>
  <si>
    <t>Подшипники 312 шариковый однорядный, ГОСТ 8328-75</t>
  </si>
  <si>
    <t>ЭД</t>
  </si>
  <si>
    <t>Подшипники 313 шариковый закрытый, ГОСТ 8328-75</t>
  </si>
  <si>
    <t>Подшипники 312 шариковый закрытый, ГОСТ 8328-75</t>
  </si>
  <si>
    <t>Подшипники 311 шариковый закрытый, ГОСТ 8328-75</t>
  </si>
  <si>
    <t>Подшипники 316 роликовый однорядный, ГОСТ 8328-75</t>
  </si>
  <si>
    <t>Дробилка ВДП-15 с электродвигателем</t>
  </si>
  <si>
    <t>Дробильное помещение</t>
  </si>
  <si>
    <t xml:space="preserve">Антинакипной электрохимический аппарт </t>
  </si>
  <si>
    <t>Замена пластин</t>
  </si>
  <si>
    <t>Графитовые пластины нержавеющие аноды АЭ-А-350, размер 1100х125х50, ГОСТ 11256-73</t>
  </si>
  <si>
    <t>Внутри антинакипного аппарата</t>
  </si>
  <si>
    <t>Графитовые пластины нержавеющие аноды АЭ-А-350, размер 1100х250х50, ГОСТ 11256-73</t>
  </si>
  <si>
    <t xml:space="preserve">Каркас графитовых пластин АЭА 350  </t>
  </si>
  <si>
    <t>СЭН-1</t>
  </si>
  <si>
    <t>Замена насоса № 1</t>
  </si>
  <si>
    <t>Насос д315-110</t>
  </si>
  <si>
    <t>ДС-1</t>
  </si>
  <si>
    <t>Дымосос ДН-12,5 правогого вращения</t>
  </si>
  <si>
    <t>Приобретение элементов ДС</t>
  </si>
  <si>
    <t>Рабочее колесо с валом (дымососа 12,5) правогого вращения</t>
  </si>
  <si>
    <t>ДВ-1</t>
  </si>
  <si>
    <t>Полная замена</t>
  </si>
  <si>
    <t>Дутьевой вентилятор АИР 20М6У2 22кВт 1000об/мин  ДН-8 (исполнение 1)</t>
  </si>
  <si>
    <t>На отметке 0 м.</t>
  </si>
  <si>
    <t>ВОД-1</t>
  </si>
  <si>
    <t>За котлов</t>
  </si>
  <si>
    <t>Улитки тяго-дутьевых механизмов</t>
  </si>
  <si>
    <t>Устранение неплотностей</t>
  </si>
  <si>
    <t>Асбестовый шнур с диаметром 5 мм, изготовленный по ГОСТ 1779-83</t>
  </si>
  <si>
    <t>ЦТП-3</t>
  </si>
  <si>
    <t>Ремонт ограждения (забора)</t>
  </si>
  <si>
    <t>пиломатериал необрезной 25мм</t>
  </si>
  <si>
    <t>Ограждение ЦТП-3</t>
  </si>
  <si>
    <t>куб</t>
  </si>
  <si>
    <t>гвозди 100 мм</t>
  </si>
  <si>
    <t>пиломатериал обрезной д=40</t>
  </si>
  <si>
    <t>ТК-1 (ЦТП-3)</t>
  </si>
  <si>
    <t>Ремонт ТК-1</t>
  </si>
  <si>
    <t>арматура д=8</t>
  </si>
  <si>
    <t>ТК-1 на территории ЦТП-3</t>
  </si>
  <si>
    <t>арматура д=10</t>
  </si>
  <si>
    <t>арматура д=12</t>
  </si>
  <si>
    <t>арматура д=14</t>
  </si>
  <si>
    <t xml:space="preserve">цемент </t>
  </si>
  <si>
    <t>песок</t>
  </si>
  <si>
    <t>шебень</t>
  </si>
  <si>
    <t xml:space="preserve">Трубопровод ул. Мира 32А </t>
  </si>
  <si>
    <t>ппу труба д=89</t>
  </si>
  <si>
    <t>От ТК-65 до ввода в дом ул. Мира 32А</t>
  </si>
  <si>
    <t>отвод д=89</t>
  </si>
  <si>
    <t>шаровый кран с флянцами д=80</t>
  </si>
  <si>
    <t>сгон д=80</t>
  </si>
  <si>
    <t>труба д=57</t>
  </si>
  <si>
    <t>шаровый кран д=50</t>
  </si>
  <si>
    <t>сгон д=50</t>
  </si>
  <si>
    <t>флянцы д=80</t>
  </si>
  <si>
    <t xml:space="preserve">изовер </t>
  </si>
  <si>
    <t>стеклоткань</t>
  </si>
  <si>
    <t>отвод д=20</t>
  </si>
  <si>
    <t>скорлупа д=80</t>
  </si>
  <si>
    <t>сгон д=20</t>
  </si>
  <si>
    <t>шаровый кран д=20</t>
  </si>
  <si>
    <t>ппу труба д=76</t>
  </si>
  <si>
    <t>От тк-66 до конца ул. Интернациональная</t>
  </si>
  <si>
    <t>шаровый кран с флянцами д=70</t>
  </si>
  <si>
    <t>флянцы д=70</t>
  </si>
  <si>
    <t>отвод д=50</t>
  </si>
  <si>
    <t>труба д=50</t>
  </si>
  <si>
    <t>сколупа д=70</t>
  </si>
  <si>
    <t>Замена запорной арматуры на теплотрасе по ул.Первомайской, Гагарина, Мира,</t>
  </si>
  <si>
    <t>Теплотрасса по Гагарине, Первомайской и Мира</t>
  </si>
  <si>
    <t>Трубопровод по ул. Гагарина и Спортивная</t>
  </si>
  <si>
    <t>труба д=159</t>
  </si>
  <si>
    <t>по ул. Гагарина и От ТК-110 до ТК-112</t>
  </si>
  <si>
    <t>изовер</t>
  </si>
  <si>
    <t>отвод д=57</t>
  </si>
  <si>
    <t>шаровый кран  Д=50</t>
  </si>
  <si>
    <t>задвижка клиновая д=150</t>
  </si>
  <si>
    <t>отвод д=159</t>
  </si>
  <si>
    <t>шаровый кран с флянцами Д=100</t>
  </si>
  <si>
    <t>флянцы д=100</t>
  </si>
  <si>
    <t>отвод д=108</t>
  </si>
  <si>
    <t>Трубы котельной и ЦТП-1,2,3</t>
  </si>
  <si>
    <t>Восстановление тепловой изоляции</t>
  </si>
  <si>
    <t>асбест</t>
  </si>
  <si>
    <t>Тепловая изоляция трубопроводов в помещении</t>
  </si>
  <si>
    <t>Поврежденные ТК</t>
  </si>
  <si>
    <t>Ремонт ТК</t>
  </si>
  <si>
    <t>люк тяжелый</t>
  </si>
  <si>
    <t xml:space="preserve">пиломатериал необрезной </t>
  </si>
  <si>
    <t>цемент портла 1 мешок 50 кг</t>
  </si>
  <si>
    <t>ТК в котельной</t>
  </si>
  <si>
    <t xml:space="preserve">Ремонт тепловой камеры № 1 </t>
  </si>
  <si>
    <t>Цемент 1 мешок 50 кг, всего 3 т</t>
  </si>
  <si>
    <t>Арматура стальная д=8</t>
  </si>
  <si>
    <t>Шебень</t>
  </si>
  <si>
    <t>Песок</t>
  </si>
  <si>
    <t>Пиломатериал толшиной 40 мм</t>
  </si>
  <si>
    <t>Лист металический 8 мм, ст3ПС5, размеры 1500*6000*4, ГОСТ 14636</t>
  </si>
  <si>
    <t>Арматура стальная д=12</t>
  </si>
  <si>
    <t>Скорлупа фольгированная полная теплоизоляционная для труб с наружным диаметром 159 мм, толщина скорлупы 50 мм</t>
  </si>
  <si>
    <t>Скорлупа фольгированная полная теплоизоляционная для труб с наружным диаметром 219 мм, толщина скорлупы 50 мм</t>
  </si>
  <si>
    <t>Скорлупа фольгированная полная теплоизоляционная для труб с наружным диаметром 108 мм, толщина скорлупы 50 мм</t>
  </si>
  <si>
    <t>Запорная арматура ЦТП-1,2,3</t>
  </si>
  <si>
    <t>Ревизия и замена запорной арматуры</t>
  </si>
  <si>
    <t>Обратный клапан Д=50</t>
  </si>
  <si>
    <t>В ЦТП-1,2,3</t>
  </si>
  <si>
    <t>Обратный клапан Д=70</t>
  </si>
  <si>
    <t>Обратный клапан Д=100</t>
  </si>
  <si>
    <t>Обратный клапан Д=150</t>
  </si>
  <si>
    <t>Обратный клапан Д=200</t>
  </si>
  <si>
    <t>Дисковой затвор Д=50</t>
  </si>
  <si>
    <t>Дисковой затвор Д=70</t>
  </si>
  <si>
    <t>Дисковой затвор Д=80</t>
  </si>
  <si>
    <t>Дисковой затвор Д=100</t>
  </si>
  <si>
    <t>Дисковой затвор Д=150</t>
  </si>
  <si>
    <t>Дисковой затвор с редуктором д=150</t>
  </si>
  <si>
    <t>Дисковой затвор с редуктором д=200</t>
  </si>
  <si>
    <t>Дисковой затвор с редуктором д=300</t>
  </si>
  <si>
    <t>Компенсатор резиненый межфлянцевый д=80</t>
  </si>
  <si>
    <t>Компенсатор резиненый межфлянцевый д=120</t>
  </si>
  <si>
    <t>Компенсатор резиненый межфлянцевый д=300</t>
  </si>
  <si>
    <t>Шаровый кран флянцевый д=50</t>
  </si>
  <si>
    <t>Шаровый кран флянцевый д=70</t>
  </si>
  <si>
    <t>Шаровый кран флянцевый д=80</t>
  </si>
  <si>
    <t>Шаровый кран флянцевый д=100</t>
  </si>
  <si>
    <t>Шаровый кран флянцевый д=150</t>
  </si>
  <si>
    <t>Шаровый кран флянцевый д=200</t>
  </si>
  <si>
    <t>Флянцы д=25</t>
  </si>
  <si>
    <t>Флянцы д=50</t>
  </si>
  <si>
    <t>Флянцы д=80</t>
  </si>
  <si>
    <t>Флянцы д=120</t>
  </si>
  <si>
    <t>Флянцы д=200</t>
  </si>
  <si>
    <t>Флянцы д=300</t>
  </si>
  <si>
    <t>отвод д=76</t>
  </si>
  <si>
    <t>отвод д=80</t>
  </si>
  <si>
    <t>отвод д=100</t>
  </si>
  <si>
    <t>Сгон д=15</t>
  </si>
  <si>
    <t>шаровый кран д=20 муфтовый</t>
  </si>
  <si>
    <t>шаровый кран д=40 муфтовый</t>
  </si>
  <si>
    <t>сгон д=40</t>
  </si>
  <si>
    <t>сгон д=32</t>
  </si>
  <si>
    <t>СЭН-2</t>
  </si>
  <si>
    <t>Установка щита</t>
  </si>
  <si>
    <t>щит управление сетевым насосом</t>
  </si>
  <si>
    <t xml:space="preserve">эжектирующий насос </t>
  </si>
  <si>
    <t xml:space="preserve">Замена эжектирующего насоса </t>
  </si>
  <si>
    <t>эжектирующий насос Q2E FC90L2C-40H</t>
  </si>
  <si>
    <t>Трансформаторы</t>
  </si>
  <si>
    <t>БМС резина для ремонта тр-ров</t>
  </si>
  <si>
    <t>Бензо-Маслостойкая резина 1000-1000-5 мм</t>
  </si>
  <si>
    <t>Коммутационное электрооборудование</t>
  </si>
  <si>
    <t>Замена контакторов</t>
  </si>
  <si>
    <t>КМИ-48012 400В 25А</t>
  </si>
  <si>
    <t>КМИ-35012 400В 25А</t>
  </si>
  <si>
    <t>КМИ-11210 400В 25А</t>
  </si>
  <si>
    <t>КМИ-22510 400В 32А</t>
  </si>
  <si>
    <t>КМИ-23210 400В 25А</t>
  </si>
  <si>
    <t>КМИ-46512 230В 40А</t>
  </si>
  <si>
    <t>Бухгалтерия и ЦТП</t>
  </si>
  <si>
    <t>Бензогенераторы</t>
  </si>
  <si>
    <t>8 кВт</t>
  </si>
  <si>
    <t>10 кВт</t>
  </si>
  <si>
    <t xml:space="preserve">Приобретение электродвигателей </t>
  </si>
  <si>
    <t>АИР 130 10 кВт, 980 об/мин</t>
  </si>
  <si>
    <t>АИР 5А200М4ПУЗ 37кВт, 1500 об/мин</t>
  </si>
  <si>
    <t>Ревизия подшипников</t>
  </si>
  <si>
    <t>подшипники 314 роликовый однорядный</t>
  </si>
  <si>
    <t>подшипники 313 шариковый однорядный</t>
  </si>
  <si>
    <t>подшипники 313 шариковый закрытый</t>
  </si>
  <si>
    <t>подшипники 312 шариковый закрытый</t>
  </si>
  <si>
    <t>подшипники 316 роликовый однорядный</t>
  </si>
  <si>
    <t>подшипники 316 шариковый однорядный</t>
  </si>
  <si>
    <t>ЦТП-1 СЭН-1</t>
  </si>
  <si>
    <t>ЦТП-1 СЭН-2</t>
  </si>
  <si>
    <t>ЦТП-2 СЭН-1</t>
  </si>
  <si>
    <t>ЦТП-2 СЭН-2</t>
  </si>
  <si>
    <t>ЦТП-3 СЭН-1</t>
  </si>
  <si>
    <t>ЦТП-3 СЭН-2</t>
  </si>
  <si>
    <t>ЦТП-3 СЭН-3</t>
  </si>
  <si>
    <t>ЦТП-3 СЭН-4</t>
  </si>
  <si>
    <t>Бульдозер Т-130</t>
  </si>
  <si>
    <t>Замена турбины</t>
  </si>
  <si>
    <t>турбина для бульдозера т-130</t>
  </si>
  <si>
    <t>головка бульдозера</t>
  </si>
  <si>
    <t xml:space="preserve">ремонтный комплект прокладок головки бульдозера </t>
  </si>
  <si>
    <t>Газель</t>
  </si>
  <si>
    <t>диск для газеля</t>
  </si>
  <si>
    <t>покрышки с камерой для газелья</t>
  </si>
  <si>
    <t>Газ-53</t>
  </si>
  <si>
    <t>генератор для Газ-53</t>
  </si>
  <si>
    <t>набор патрубки для Газ-53</t>
  </si>
  <si>
    <t>стартер для Газ-53</t>
  </si>
  <si>
    <t>камаз</t>
  </si>
  <si>
    <t>диск для КАМАЗа</t>
  </si>
  <si>
    <t>покрышки (камера и флипер)для КАМАЗа</t>
  </si>
  <si>
    <t>ремонтный комплект прокладок крышки головки для камаза</t>
  </si>
  <si>
    <t>ремонтный комплект прокладок  головки для камаза</t>
  </si>
  <si>
    <t>Насосы и запорная арматура</t>
  </si>
  <si>
    <t>Замена сальников и прокладок</t>
  </si>
  <si>
    <t>Установка душевой</t>
  </si>
  <si>
    <t>нихром д=3 мм</t>
  </si>
  <si>
    <t>Гараж</t>
  </si>
  <si>
    <t>Замена ворот</t>
  </si>
  <si>
    <t>Ремонт отмостки</t>
  </si>
  <si>
    <t xml:space="preserve">Арматура Д-8 мм, ГОСТ 5781-82 </t>
  </si>
  <si>
    <t>Расходные материалы</t>
  </si>
  <si>
    <t>Приобретение расходных материалов</t>
  </si>
  <si>
    <t>Помещение для командировочных</t>
  </si>
  <si>
    <t>Ремонт помещения 2 этаж</t>
  </si>
  <si>
    <t>кафель (плитка для пола)</t>
  </si>
  <si>
    <t xml:space="preserve">раскладушки </t>
  </si>
  <si>
    <t>клей для кафеля (клей для плитки напольный)</t>
  </si>
  <si>
    <t>подушка</t>
  </si>
  <si>
    <t>одеяло</t>
  </si>
  <si>
    <t>матрас</t>
  </si>
  <si>
    <t>Установка освещения периметра</t>
  </si>
  <si>
    <t>Котлы, главная магистраль и трубопроводы в сторону потребителей в ЦТП</t>
  </si>
  <si>
    <t>Установка расходомеров</t>
  </si>
  <si>
    <t>Пожарная сигнализация</t>
  </si>
  <si>
    <t>Замена пожарной сигнализации</t>
  </si>
  <si>
    <t>Установка дополнительной конвейерной линии</t>
  </si>
  <si>
    <t>Пожарный гидрант</t>
  </si>
  <si>
    <t>Замена пожарного гидранта</t>
  </si>
  <si>
    <t>ПГ возле гаража</t>
  </si>
  <si>
    <t>Элеваторные узлы Дружба 57</t>
  </si>
  <si>
    <t>Для воздушников котла № 3,4,5.</t>
  </si>
  <si>
    <t>Для спусников в ввода дома ул. Горная</t>
  </si>
  <si>
    <t>Для ревизии элеваторных узлов и грязевиков</t>
  </si>
  <si>
    <t>Кран шаровый фланцевый Д100</t>
  </si>
  <si>
    <t>ТК-1, Элеватор узлы Саяно-Шушенская 8,6, 59Б,1,3.</t>
  </si>
  <si>
    <t>Кран шаровый фланцевый Д150</t>
  </si>
  <si>
    <t>ТК-1, Тепловые сети</t>
  </si>
  <si>
    <t>Кран шаровый фланцевый Д50</t>
  </si>
  <si>
    <t>Тепловые сети</t>
  </si>
  <si>
    <t>Кран шаровый фланцевый Д40</t>
  </si>
  <si>
    <t>Кран шаровый фланцевый Д80</t>
  </si>
  <si>
    <t>Кран шаровый фланцевый Д32</t>
  </si>
  <si>
    <t>Фланец приварной плоский Д100</t>
  </si>
  <si>
    <t>Фланец приварной плоский Д80</t>
  </si>
  <si>
    <t>Фланец приварной плоский Д50</t>
  </si>
  <si>
    <t>Фланец приварной плоский Д40</t>
  </si>
  <si>
    <t>Фланец приварной плоский Д32</t>
  </si>
  <si>
    <t xml:space="preserve">Приобретение материалов для замены  арматуры в элеваторных узлах мкд и в тепловых камерах </t>
  </si>
  <si>
    <t>Вентилятор острого дутья 19ЦС-63 с электродвигателем АИР 5АИ132М2 3000 об 1,1 квт</t>
  </si>
  <si>
    <t>Плиты перекрытия лотков железобетонные, размерами 1500*3000*100 мм</t>
  </si>
  <si>
    <t>При вскрытии плит с частичной заменной</t>
  </si>
  <si>
    <t>Лотки железобетонные, размерами 1500*3000*780 мм</t>
  </si>
  <si>
    <t>При вскрытии лотков с частичной заменной</t>
  </si>
  <si>
    <t xml:space="preserve">Замена поврежденных лотков и плит перекрытия при ремонте тепловой сети </t>
  </si>
  <si>
    <t>Отводы Д273*5,0 мм, ст. 20, ГОСТ 10704-91</t>
  </si>
  <si>
    <t>Отводы Д108*4,5 мм, ст. 20, ГОСТ 10704-91</t>
  </si>
  <si>
    <t xml:space="preserve">Итого по участку Хову-Аксынский </t>
  </si>
  <si>
    <t>ИТОГО ПО 4 УЧАСТКАМ</t>
  </si>
  <si>
    <t>Рабочее колесо левого вращения  на Д-15,5</t>
  </si>
  <si>
    <t xml:space="preserve">Вал рабочего колеса Д -15,5 </t>
  </si>
  <si>
    <t xml:space="preserve">не нужны плиты перекрытия, так как имеются в наличии </t>
  </si>
  <si>
    <t>Замена трубопроводов тепловой сети протяженностью 122 м. в 2-трубном исполнении</t>
  </si>
  <si>
    <t>от ТК-1 (ТКМ-6) до ТК-11 (ТКМ-6)</t>
  </si>
  <si>
    <t xml:space="preserve">Скорлупа полная теплоизоляционная Д159, с защитной фольгированной оболочкой  </t>
  </si>
  <si>
    <t>Замена трубопроводов тепловой сети протяженностью 32 м. в 2-трубном исполнении</t>
  </si>
  <si>
    <t>Трубы Д108*4,0 мм, ст.20, ГОСТ 10704-91 (64 м)</t>
  </si>
  <si>
    <t>от ТК-11 (ТКМ-6) до ввода в дом</t>
  </si>
  <si>
    <t>Замена трубопроводов тепловой сети протяженностью 70 м. в 2-трубном исполнении</t>
  </si>
  <si>
    <t>Трубы Д108*4,0 мм, ст.20, ГОСТ 10704-91 (140 м)</t>
  </si>
  <si>
    <t>от ТК-1 (ТКМ 6) до ввода в здание банка</t>
  </si>
  <si>
    <t>от ТК-1 (ТКМ-6) до ТК-2 (ТКМ-6)</t>
  </si>
  <si>
    <t>Замена трубопроводов тепловой сети протяженностью 364 м. в 2-трубном исполнении</t>
  </si>
  <si>
    <t>от ТКМ-3 до ТК-37</t>
  </si>
  <si>
    <t>Скорлупа полная теплоизоляционная Д57, с защитной фольгированной оболочкой</t>
  </si>
  <si>
    <t>Трубопроводы дома  по ул. Советская и Студенческая</t>
  </si>
  <si>
    <t>ЗИЛ-130 (6 цилиндровый)</t>
  </si>
  <si>
    <t>генератор</t>
  </si>
  <si>
    <t>поршневая группа в сборе</t>
  </si>
  <si>
    <t>бензонасос</t>
  </si>
  <si>
    <t>трамблер</t>
  </si>
  <si>
    <t>шины</t>
  </si>
  <si>
    <t>ПАЗ-32053</t>
  </si>
  <si>
    <t>колодки передние</t>
  </si>
  <si>
    <t>устройство откр-закр дверей</t>
  </si>
  <si>
    <t>щиток приборов</t>
  </si>
  <si>
    <t>энергоаккумулятор</t>
  </si>
  <si>
    <t>компрессор</t>
  </si>
  <si>
    <t>фильтр осушителя воздуха</t>
  </si>
  <si>
    <t>втулки шкварней</t>
  </si>
  <si>
    <t xml:space="preserve"> шкворня </t>
  </si>
  <si>
    <t>на переднюю балку</t>
  </si>
  <si>
    <t>рулевые наконечники</t>
  </si>
  <si>
    <t>рулевые наконечники продольные и поперечные тяги</t>
  </si>
  <si>
    <t xml:space="preserve">рычаги верхние и нижние </t>
  </si>
  <si>
    <t>амортизаторы передние и задние</t>
  </si>
  <si>
    <t>шаровые верхние и нижние</t>
  </si>
  <si>
    <t>шины летние R15</t>
  </si>
  <si>
    <t>задний мост в сборе</t>
  </si>
  <si>
    <t>трапеция рулевая в сборе</t>
  </si>
  <si>
    <t>автокран КС-3562Б</t>
  </si>
  <si>
    <t>шины размер 20 маз</t>
  </si>
  <si>
    <t>распределитель рабочих операций в комплекте</t>
  </si>
  <si>
    <t>экскаватор китайский liuGong  модель CLG777A</t>
  </si>
  <si>
    <t>блок цилиндров</t>
  </si>
  <si>
    <t>комплект прокладок на двигатель</t>
  </si>
  <si>
    <t>фильтра в комплекте</t>
  </si>
  <si>
    <t>шланги 24,27 длина 1 м</t>
  </si>
  <si>
    <t xml:space="preserve">турбина </t>
  </si>
  <si>
    <t>экскаватор ТАГИЛ</t>
  </si>
  <si>
    <t>шины R5TBn21</t>
  </si>
  <si>
    <t>шланги 24,27,50</t>
  </si>
  <si>
    <t>замок зажигания (камаз)</t>
  </si>
  <si>
    <t>НШ 32,100</t>
  </si>
  <si>
    <t>бульдозер Т-170</t>
  </si>
  <si>
    <t xml:space="preserve">поршневая группа в сборе </t>
  </si>
  <si>
    <t>магнето</t>
  </si>
  <si>
    <t>подшипники натяжителя</t>
  </si>
  <si>
    <t xml:space="preserve">ремни в комплекте </t>
  </si>
  <si>
    <t>бульдозер ДТ-75</t>
  </si>
  <si>
    <t>редуктор пускача</t>
  </si>
  <si>
    <t>траки</t>
  </si>
  <si>
    <t>пальцы</t>
  </si>
  <si>
    <t xml:space="preserve">газель </t>
  </si>
  <si>
    <t>стартер</t>
  </si>
  <si>
    <t>карбюратор</t>
  </si>
  <si>
    <t>проводка в сборе УМЗ-402</t>
  </si>
  <si>
    <t>колодки в сборе</t>
  </si>
  <si>
    <t>трос ручного тормоза</t>
  </si>
  <si>
    <t>задние тормозные цилиндры</t>
  </si>
  <si>
    <t>коробка 5 ступка</t>
  </si>
  <si>
    <t xml:space="preserve">шины </t>
  </si>
  <si>
    <t xml:space="preserve">компрессор </t>
  </si>
  <si>
    <t>механизм переключения делителя</t>
  </si>
  <si>
    <t>рем комплект энергоаккумулятора</t>
  </si>
  <si>
    <t>колодки комплект</t>
  </si>
  <si>
    <t>для транспортного цеха</t>
  </si>
  <si>
    <t>набор ключей мегаместер</t>
  </si>
  <si>
    <t>домкрат 10 т</t>
  </si>
  <si>
    <t>домкрат 20-30т</t>
  </si>
  <si>
    <t>набор головок</t>
  </si>
  <si>
    <t>компл</t>
  </si>
  <si>
    <t>аккумуляторы 90А</t>
  </si>
  <si>
    <t>ГАЗ-3110 1997 г.</t>
  </si>
  <si>
    <t>ГАЗ-31105 2004 г.</t>
  </si>
  <si>
    <t xml:space="preserve">Ремонт газохода котла № 7 (от котла до дымососа) </t>
  </si>
  <si>
    <t xml:space="preserve">КГ 2008-6  3 кВт 1500 об/мин 0,4 кВ </t>
  </si>
  <si>
    <t>на кабеля электрооборудований</t>
  </si>
  <si>
    <t>Муфты концевые</t>
  </si>
  <si>
    <t>3ПСТ(б)-1-25/50(Б)</t>
  </si>
  <si>
    <t>3ПСТ(б)-1-70/120(Б)</t>
  </si>
  <si>
    <t>Муфты соеденительные</t>
  </si>
  <si>
    <t>3СТп-1-25/50(Б)</t>
  </si>
  <si>
    <t>3СТп-1-70/120(Б)</t>
  </si>
  <si>
    <t>3ПКНТп-10-150/240</t>
  </si>
  <si>
    <t>3КВТп-10-70/120(Б) нг-LS</t>
  </si>
  <si>
    <t>3КВТп-10-150/240(Б) нг-LS</t>
  </si>
  <si>
    <t>3ПСТ-10-150/240(Б)</t>
  </si>
  <si>
    <t>3ПСТ-10-70/120(Б)</t>
  </si>
  <si>
    <t>Наконечники</t>
  </si>
  <si>
    <t>ТА 35-10-8</t>
  </si>
  <si>
    <t xml:space="preserve">шт. </t>
  </si>
  <si>
    <t>ТА 50-10-9 </t>
  </si>
  <si>
    <t>ТА 70-10-12 </t>
  </si>
  <si>
    <t>ТА 95-12-13</t>
  </si>
  <si>
    <t>ТА 120-12-14 </t>
  </si>
  <si>
    <t xml:space="preserve">Сетевой насос Д630-90 </t>
  </si>
  <si>
    <t>Приобретение насоса Д630-90 с элетродвигателем</t>
  </si>
  <si>
    <t>насос Д630-90</t>
  </si>
  <si>
    <t>4АМН315  250 кВт 1500 об/м</t>
  </si>
  <si>
    <t>на электрооборудования</t>
  </si>
  <si>
    <t>ВА57-35-340010-250А-2500-690AC-УХЛ3</t>
  </si>
  <si>
    <t>ВА57-35-340010-160А-1600-690AC-УХЛ3</t>
  </si>
  <si>
    <t>ВА57-35-340010-200А</t>
  </si>
  <si>
    <t>ВА57-39-340010-400А-4000-690AC-УХЛ3</t>
  </si>
  <si>
    <t>Пускатели на эл.двиг. Конвееров 1 и 2, скажин НТВ (ЭЦВ)</t>
  </si>
  <si>
    <t>ПМ 12-100240</t>
  </si>
  <si>
    <t>Пускатели на эл.двиг. БН, МВ, ЦН, ППН</t>
  </si>
  <si>
    <t>ПМ 12-160260</t>
  </si>
  <si>
    <t>Контакторы на эл.двиг. ДС</t>
  </si>
  <si>
    <t>Контакторы на эл.двиг. ДВ, ММТ</t>
  </si>
  <si>
    <t>Контакторы на эл.двиг. БН-1;2</t>
  </si>
  <si>
    <t>на освещение кабинетов коридор</t>
  </si>
  <si>
    <t xml:space="preserve">светильники  </t>
  </si>
  <si>
    <t>Светодиодный настенно-потолочный светильник REV SPO118 Line, 18W, 4000K</t>
  </si>
  <si>
    <t>прожектор</t>
  </si>
  <si>
    <t>PSL 200 ватт</t>
  </si>
  <si>
    <t>ЭЦВ -12-160-65</t>
  </si>
  <si>
    <t>Автоматические выключатели</t>
  </si>
  <si>
    <t>Преобретение материалов для ремонта обмуровки</t>
  </si>
  <si>
    <t>Преобретение бил на мельницы</t>
  </si>
  <si>
    <t xml:space="preserve">Преобретение брони в улитках мельничных ветиляторов ВВСМ-1У </t>
  </si>
  <si>
    <t>Приобретение  соединительных муфт</t>
  </si>
  <si>
    <t xml:space="preserve">Преобретение электродов </t>
  </si>
  <si>
    <t xml:space="preserve">для сварочных работ </t>
  </si>
  <si>
    <t xml:space="preserve">Преобретение запорной арматуры </t>
  </si>
  <si>
    <t>Тр</t>
  </si>
  <si>
    <t xml:space="preserve">1 улитке МВ - 24 штуки брони </t>
  </si>
  <si>
    <t>ДС-8,6  - не балансируются</t>
  </si>
  <si>
    <t>СН-7</t>
  </si>
  <si>
    <t>РЗА</t>
  </si>
  <si>
    <t xml:space="preserve">Сетка рабица 50*50, рулон 1,5*10м </t>
  </si>
  <si>
    <t>Стеклоткань ЭЗ-200, ГОСТ 19170-2001</t>
  </si>
  <si>
    <t xml:space="preserve">Подрядные работы </t>
  </si>
  <si>
    <t>Линокром ТКП сланец серый (верхний слой)</t>
  </si>
  <si>
    <t xml:space="preserve">Рубероид (нижний слой) </t>
  </si>
  <si>
    <t xml:space="preserve">Сетка для стяжки кровли </t>
  </si>
  <si>
    <t>Цемент портланд ПЦ 400Д200 (50 кг в 1 мешке)</t>
  </si>
  <si>
    <t>Битум (бачок 200 л)</t>
  </si>
  <si>
    <t>Отводной желоб</t>
  </si>
  <si>
    <t xml:space="preserve">Водоотводная труба </t>
  </si>
  <si>
    <t>рулон</t>
  </si>
  <si>
    <t>Сэндвич-панели ПИР 200-1000 ОЦ 0,5/0,5, размеры 1000*12000*100</t>
  </si>
  <si>
    <t xml:space="preserve">Подрядная организация </t>
  </si>
  <si>
    <t xml:space="preserve">Ремонт помещений котельной </t>
  </si>
  <si>
    <t>цемент портланд, мешок 50 кг</t>
  </si>
  <si>
    <t>Известь  (побелка помещений котлов)</t>
  </si>
  <si>
    <t xml:space="preserve">эмаль половая коричневая </t>
  </si>
  <si>
    <t xml:space="preserve">эмаль белая </t>
  </si>
  <si>
    <t xml:space="preserve">Эмаль белая </t>
  </si>
  <si>
    <t>на 1 подъем (3 года назад ремонтировали 2 подъем)</t>
  </si>
  <si>
    <t>Проведение работ по капитальному ремонту котлоагрегата № 1</t>
  </si>
  <si>
    <t xml:space="preserve">Боковая щека (плита)  топка ТЧЗМ 2,5*6,5 </t>
  </si>
  <si>
    <t>Электродвигатель на ПЭН 4А3М315 6000 В 315 кВт 3000 об/мин с завода ЭЛСИБ</t>
  </si>
  <si>
    <t>Эжектирующий насос ЛМ-50-10/16 (подача-10м3/ч, напор-16 м., 3000 об/мин) с электродвигателем 1,5 кВт, 3000 об/мин, 380 В</t>
  </si>
  <si>
    <t>Изовер плиты размерами 600*1000*50 мм, в 1 упаковке - 6 шт</t>
  </si>
  <si>
    <t xml:space="preserve">упаковок </t>
  </si>
  <si>
    <t>постельное белье</t>
  </si>
  <si>
    <t xml:space="preserve">Сетка для фильтра (из нержавейки) Д= 150 мм </t>
  </si>
  <si>
    <t xml:space="preserve">Сетка фильтра сетчатого грубой очистки Д=300 мм </t>
  </si>
  <si>
    <t>КТ-6033С напряжение катушки 380В</t>
  </si>
  <si>
    <t>КТ-6023С напряжение катушки 380В</t>
  </si>
  <si>
    <t>КТ-6013С напряжение катушки 380В</t>
  </si>
  <si>
    <t>Сетка рабица, 50*50, 1,8 мм, рулон 1,5*10 м</t>
  </si>
  <si>
    <t xml:space="preserve">Крышки люка бункера (затвор ШЗУ) </t>
  </si>
  <si>
    <t>Арматура д=20 мм</t>
  </si>
  <si>
    <t>Металлический лист стальной толщиной 4 мм, с размерами 1250-2500 мм</t>
  </si>
  <si>
    <t xml:space="preserve">Ремонт бункера ШЗУ котлоагрегата № 2, 3 </t>
  </si>
  <si>
    <t>Сетка рабица (1,5*15 м -1 рулон)</t>
  </si>
  <si>
    <t>Уголок стальной 100*100*8 (216 м)</t>
  </si>
  <si>
    <t xml:space="preserve">Замена коллекторов </t>
  </si>
  <si>
    <t>Токарный станок</t>
  </si>
  <si>
    <t>Станок</t>
  </si>
  <si>
    <t>Фрикционный вал IК62</t>
  </si>
  <si>
    <t>Съемник гидравлический</t>
  </si>
  <si>
    <t>СГ-30</t>
  </si>
  <si>
    <t>съем подшипников двгателей и насосов</t>
  </si>
  <si>
    <t>на нагрев бункера дробилки 2-й стадии,  и на пульпопровод в случае замерзания</t>
  </si>
  <si>
    <t>Нагревательные ленты</t>
  </si>
  <si>
    <t>Лента ЭНГЛ-2М-0,13/220-5,2м</t>
  </si>
  <si>
    <t>Столярно-плотничные работы</t>
  </si>
  <si>
    <t>м3</t>
  </si>
  <si>
    <t>Забор по периметру шлакоотвалу</t>
  </si>
  <si>
    <t>на смотровые колодцы пожарных гидрантов</t>
  </si>
  <si>
    <t xml:space="preserve">Преобретение люков с крышкой </t>
  </si>
  <si>
    <t xml:space="preserve">Люк с крышкой смотровой чугунный </t>
  </si>
  <si>
    <t xml:space="preserve">Люнет на станок </t>
  </si>
  <si>
    <t xml:space="preserve">Пиломатериал необрезные 40 мм </t>
  </si>
  <si>
    <t xml:space="preserve">На окна и проемы </t>
  </si>
  <si>
    <t>производственные помещения</t>
  </si>
  <si>
    <t>Монолитный Поликарбонат  2,05*3,05 м толщиной 2 мм</t>
  </si>
  <si>
    <t>Заглушки сферические для трубопроводов диаметром 500 мм</t>
  </si>
  <si>
    <t xml:space="preserve">Замена колосников шлакоснимателя котлов </t>
  </si>
  <si>
    <t xml:space="preserve">Колосник Т 22.00.007А (чертеж прилагается) </t>
  </si>
  <si>
    <t>Котлоагрегаты 2,3,4,5</t>
  </si>
  <si>
    <t xml:space="preserve">Задвижка клиновая чугунная фланцевая с Д250, на условное давление 2,5 Мпа </t>
  </si>
  <si>
    <t>Скважина</t>
  </si>
  <si>
    <t xml:space="preserve">Резерв </t>
  </si>
  <si>
    <t>Глубинный насос ЭЦВ 5-6,5-120 (6,5 м3/4,380В)</t>
  </si>
  <si>
    <t>не нужны плиты перекрытия и лотки, так как имеются в наличии</t>
  </si>
  <si>
    <t>Плитки броневые (броня) для вентилятра ВВСМ-1У (чертеж прилагается)</t>
  </si>
  <si>
    <t xml:space="preserve">Итого по участку Ак-Довуракский </t>
  </si>
  <si>
    <t>Полотно скребковое КПС(2М)-500 (цепи для ПСУ - 2 комлекта по 10 м)</t>
  </si>
  <si>
    <t>на одном котле 2 вариатора. Остальное в резерв</t>
  </si>
  <si>
    <t>Труба стальная прямошовная Д=219*6 мм, ГОСТ10704-91 (200 м)</t>
  </si>
  <si>
    <t xml:space="preserve">Труба стальная прямошовная Д=89*4 мм, ГОСТ10704-91 </t>
  </si>
  <si>
    <t>Труба стальная прямошовная Д=76*3,5 мм, ГОСТ10704-91 (40 м)</t>
  </si>
  <si>
    <t>Труба стальная прямошовная Д=76*3,5 мм, ГОСТ10704-91 (160 м)</t>
  </si>
  <si>
    <t>Труба стальная прямошовная Д=76*3,5 мм, ГОСТ10704-91 (90м)</t>
  </si>
  <si>
    <t>Труба стальная прямошовная Д=76*3,5 мм, ГОСТ10704-91 (50 м)</t>
  </si>
  <si>
    <t>Труба стальная прямошовная Д=159*5 мм, ГОСТ10704-91 (135 м)</t>
  </si>
  <si>
    <t xml:space="preserve">Итого по участку Чаа-Холь </t>
  </si>
  <si>
    <t>Забрасыватель ПМЗ-400</t>
  </si>
  <si>
    <t xml:space="preserve">Редуктор ШЗУ </t>
  </si>
  <si>
    <t xml:space="preserve">на 2 подъем (резерв) </t>
  </si>
  <si>
    <t xml:space="preserve">резерв на конвейер топливоподачи  </t>
  </si>
  <si>
    <t>систем золошлакоудаления</t>
  </si>
  <si>
    <t xml:space="preserve">Напраляющие аппараты дымососа ДН-17, 1000 об/мин, левого вращения (шибер) </t>
  </si>
  <si>
    <t>Полумуфты топливоподачи (1 пара - 2 шт; чертеж прилагается)</t>
  </si>
  <si>
    <t>в котельной на отметке 0 м. возле ХВО</t>
  </si>
  <si>
    <t xml:space="preserve">Скважина №2 </t>
  </si>
  <si>
    <t>на конвейер топливоподачи</t>
  </si>
  <si>
    <t>дробильное помещение топливоподачи</t>
  </si>
  <si>
    <t>Замена шкива</t>
  </si>
  <si>
    <t xml:space="preserve">Замена шкива </t>
  </si>
  <si>
    <t>Шкив на электродвигателя ПМЗ-600 (чертеж прилагается)</t>
  </si>
  <si>
    <t xml:space="preserve">Замена нижних распределительных устройств на сетевых фильтрах № </t>
  </si>
  <si>
    <t>Замена затворов ШЗУ</t>
  </si>
  <si>
    <t xml:space="preserve"> Трубопроводы сбербанка</t>
  </si>
  <si>
    <t>Трубопроводы от ТК-1 до ТК2</t>
  </si>
  <si>
    <t xml:space="preserve">Замена запорной по тепловой сети </t>
  </si>
  <si>
    <t>Сальниковая набивка д=8 мм</t>
  </si>
  <si>
    <t>Сальниковая набивка д=10 мм</t>
  </si>
  <si>
    <t>Сальниковая набивка д=12 мм</t>
  </si>
  <si>
    <t>Сальниковая набивка д=14 мм</t>
  </si>
  <si>
    <t>Сальниковая набивка д=16 мм</t>
  </si>
  <si>
    <t>Паронит 1 мм ПМБ</t>
  </si>
  <si>
    <t>Паронит 2 мм ПМБ</t>
  </si>
  <si>
    <t>Паронит 4 мм ПМБ</t>
  </si>
  <si>
    <t>Паронит 1 мм ПОН</t>
  </si>
  <si>
    <t>Паронит 2 мм ПОН</t>
  </si>
  <si>
    <t>Паронит 4 мм ПОН</t>
  </si>
  <si>
    <t>Паронит 5 мм ПОН</t>
  </si>
  <si>
    <t>Угольник 50*50*5</t>
  </si>
  <si>
    <t>Шестиграник д=14</t>
  </si>
  <si>
    <t>Шестиграник д=17</t>
  </si>
  <si>
    <t>Шестиграник д=19</t>
  </si>
  <si>
    <t>Шестиграник д=22</t>
  </si>
  <si>
    <t>Шестиграник д=24</t>
  </si>
  <si>
    <t>Шестиграник д=27</t>
  </si>
  <si>
    <t>Шестиграник д=32</t>
  </si>
  <si>
    <t>Шестиграник д=36</t>
  </si>
  <si>
    <t>Шестиграник д=41</t>
  </si>
  <si>
    <t>Электрод д=3 ОК</t>
  </si>
  <si>
    <t>Электрод д=4 ОК</t>
  </si>
  <si>
    <t xml:space="preserve">Отрезной круг </t>
  </si>
  <si>
    <t>Лист металический д=2</t>
  </si>
  <si>
    <t>Щебень</t>
  </si>
  <si>
    <t xml:space="preserve">Арматура д=10 мм, ГОСТ 5781-82 </t>
  </si>
  <si>
    <t xml:space="preserve">Арматура д=12 мм, ГОСТ 5781-82 </t>
  </si>
  <si>
    <t>Вязальная проволока</t>
  </si>
  <si>
    <t>Проволока д=6 мм</t>
  </si>
  <si>
    <t xml:space="preserve">Задвижки клиновые д=100 </t>
  </si>
  <si>
    <t>Задвижки клиновые д=200</t>
  </si>
  <si>
    <t>Шаровый кран трехходовый д=15</t>
  </si>
  <si>
    <t>Кран шаровый муфта д=15</t>
  </si>
  <si>
    <t>Отвод д=50</t>
  </si>
  <si>
    <t>Электродвигателем АИР250S4, 1500 об/мин, 75 кВт</t>
  </si>
  <si>
    <t>Электродвигатель для сетевого насоса № 3</t>
  </si>
  <si>
    <t xml:space="preserve">Напраляющие аппараты на дутьевой вентилятор (шибер) </t>
  </si>
  <si>
    <t xml:space="preserve">Теплосеть </t>
  </si>
  <si>
    <t>Приобртение балансировочного клапана</t>
  </si>
  <si>
    <t>Балансировочный клапан для тепловой сети Danfoss MSV-F2, ручной фланцевый, Ду=250мм</t>
  </si>
  <si>
    <t xml:space="preserve">Хоз.способ </t>
  </si>
  <si>
    <t>подп. хвс</t>
  </si>
  <si>
    <t>шаровый кран д=32 муфтовый</t>
  </si>
  <si>
    <t xml:space="preserve">шаровый кран д=50 муфтовый </t>
  </si>
  <si>
    <t>Замена задних экранных труб.                      Демонтаж и монтаж обмуровки правой боковой и полностью задней стены включая над проходом</t>
  </si>
  <si>
    <t xml:space="preserve">деформация труб </t>
  </si>
  <si>
    <t>Трубопроводы по ул. Ленина</t>
  </si>
  <si>
    <t xml:space="preserve">Направляющие апараты для дымососа и вентилятора </t>
  </si>
  <si>
    <t>Полумуфта соединительная между редуктором и электродвигателем в ШЗУ, пара</t>
  </si>
  <si>
    <t xml:space="preserve">Полумуфты для редуктора ШЗУ </t>
  </si>
  <si>
    <t>Полумуфты для редуктора РМ-500</t>
  </si>
  <si>
    <t>Наименование материала или оборудования</t>
  </si>
  <si>
    <t>Стоимость за ед. с НДС, руб.</t>
  </si>
  <si>
    <t>Общая стоимость с НДС, руб.</t>
  </si>
  <si>
    <t xml:space="preserve">Шагонарский участок  </t>
  </si>
  <si>
    <t>(г. Шагонар, ул. Энергетиков, стр. 9)</t>
  </si>
  <si>
    <t>1 748 000</t>
  </si>
  <si>
    <r>
      <t xml:space="preserve">Вариатор импульсный </t>
    </r>
    <r>
      <rPr>
        <sz val="11"/>
        <color rgb="FF000000"/>
        <rFont val="Times New Roman"/>
        <family val="1"/>
        <charset val="204"/>
      </rPr>
      <t>Т67.33.000 АСБ</t>
    </r>
  </si>
  <si>
    <t>Комплект цепей 2,7*6,5 Т246.02.010</t>
  </si>
  <si>
    <t>Пальцы 60.30.10</t>
  </si>
  <si>
    <r>
      <t xml:space="preserve">Держатель средний </t>
    </r>
    <r>
      <rPr>
        <sz val="11"/>
        <color rgb="FF000000"/>
        <rFont val="Times New Roman"/>
        <family val="1"/>
        <charset val="204"/>
      </rPr>
      <t>Т 220.13.004</t>
    </r>
  </si>
  <si>
    <r>
      <t xml:space="preserve">Держатель крайний правый </t>
    </r>
    <r>
      <rPr>
        <sz val="11"/>
        <color rgb="FF000000"/>
        <rFont val="Times New Roman"/>
        <family val="1"/>
        <charset val="204"/>
      </rPr>
      <t>Т220.13.003</t>
    </r>
  </si>
  <si>
    <r>
      <t xml:space="preserve">Держатель крайний левый </t>
    </r>
    <r>
      <rPr>
        <sz val="11"/>
        <color rgb="FF000000"/>
        <rFont val="Times New Roman"/>
        <family val="1"/>
        <charset val="204"/>
      </rPr>
      <t>Т220.13.002</t>
    </r>
  </si>
  <si>
    <t>Забрасыватель ПМЗ-600, комплект</t>
  </si>
  <si>
    <t>Редуктор РМ-500 транспортерной ленты топливоподачи</t>
  </si>
  <si>
    <t>Шкив на электродвигателя ПМЗ-600</t>
  </si>
  <si>
    <t>Шкиф на ПМЗ-600</t>
  </si>
  <si>
    <t>1 322 040</t>
  </si>
  <si>
    <t>1 308 000</t>
  </si>
  <si>
    <t>Соединительная муфта сетевого насоса СЭ-1250-70-11 в комплекте</t>
  </si>
  <si>
    <t>Соединительная упругая втулочно-пальцевая муфта к центробежному дымососу ДН-17-1000 одностороннего всасывания</t>
  </si>
  <si>
    <t>Полумуфты топливоподачи (1 пара- 2шт) (чертеж прилагается)</t>
  </si>
  <si>
    <t>Муфта соединительная барабана конвейера для топливоподачи (чертеж прилагается)</t>
  </si>
  <si>
    <t>Полумуфта соединительная между редуктором и электродвигателем в ШЗУ, пара (чертеж прилагается)</t>
  </si>
  <si>
    <t>Сетевой насос СЭ-1250-70-11</t>
  </si>
  <si>
    <t>Направляющий аппарат дымососа ДН-17, на 1000 об/мин, левого вращения (шибер)</t>
  </si>
  <si>
    <t>Нижнее распределительное устройство для фильтров типа ФИПа I-2,0-0,6 из нержавеющей стали на 120 колпачков</t>
  </si>
  <si>
    <t>Боковая щека (плита) топка ТЧЗМ 2,8*5,6</t>
  </si>
  <si>
    <t>комплект (16 шт)</t>
  </si>
  <si>
    <t>Редуктор ШЗУ РМ-500</t>
  </si>
  <si>
    <t>Затвор для ШЗУ (чертеж прилагается)</t>
  </si>
  <si>
    <t>Транспортные расходы с НДС, руб.</t>
  </si>
  <si>
    <t>Всего по Шагонарскому участку</t>
  </si>
  <si>
    <t>10 628 577</t>
  </si>
  <si>
    <t xml:space="preserve">Ак-Довуракский участок </t>
  </si>
  <si>
    <t>(г. Ак-Довурак, ул. Заводская, д. 1)</t>
  </si>
  <si>
    <t>Закрепительные втулки для подшипников ГОСТ 24208-80 Н 2336 (В636)</t>
  </si>
  <si>
    <t>1 508 000</t>
  </si>
  <si>
    <t>Плитки броневые (броня) для мельничного вентилятора ВВСМ-1У</t>
  </si>
  <si>
    <t xml:space="preserve">Колосниковые решетки на дробилку типа СМ170Б </t>
  </si>
  <si>
    <t>Муфты упругие втулочно-пальцевые ГОСТ 21424-93 на вал Д-15,5 (дымосос) d= 90мм на эл. двиг. d= 100мм, комплект</t>
  </si>
  <si>
    <t>Полотно скребковое КПС(2М)-500 (цепи для ПСУ)</t>
  </si>
  <si>
    <t>Муфты упругие втулочно-пальцевые ГОСТ</t>
  </si>
  <si>
    <t>21424-93 на вал СН (сетевой насос) d= 90мм на эл. двиг. d= 55 мм</t>
  </si>
  <si>
    <t>Рабочее колесо левого вращения на Д-15,5</t>
  </si>
  <si>
    <t>Вал рабочего колеса Д-15,5</t>
  </si>
  <si>
    <t>Насос скважинный погружной ЭЦВ -12-160-65</t>
  </si>
  <si>
    <t>Насос Д630-90, с электродвигателем 4АМН 315, 250 кВт, 1500 об/мин</t>
  </si>
  <si>
    <t xml:space="preserve">Электродвигатель АИР 315 MS 132кВт 1000 об/мин, на лапах с вентиляторным охлаждением </t>
  </si>
  <si>
    <t>Электродвигатель 5АМ 225 М4 УЗ 55кВт 1500 об/м, на лапах с вентиляторным охлаждением</t>
  </si>
  <si>
    <t>Электродвигатель на ход кран-балки АОЛ 22-4 0,4кВт 1400 об/мин</t>
  </si>
  <si>
    <t>Электродвигатель на майна-вира кран-балки КГ 2008-6, 3 кВт 1500 об/мин 0,4 кВ</t>
  </si>
  <si>
    <t>Электродвигатель на ПЭН 4А3М315 6000 В 315 кВт 3000 об/мин, на лапах</t>
  </si>
  <si>
    <t>1 557 660</t>
  </si>
  <si>
    <t>Электродвигатель А4-400Х-8У3 6000 В 250 кВт 750 об/мин, на лапах с вентиляторным охлаждением</t>
  </si>
  <si>
    <t>1 219 660</t>
  </si>
  <si>
    <t>Электродвигатель тельфера КГ 2008-6 3 кВт 1000 об/мин</t>
  </si>
  <si>
    <t>Фрикционный вал 1К62</t>
  </si>
  <si>
    <t>Гидравлический съемник СГ-30</t>
  </si>
  <si>
    <t>Всего по Ак-Довуракскому участку (без транспортных)</t>
  </si>
  <si>
    <t>7 818 592</t>
  </si>
  <si>
    <t>Хову-Аксынский участок</t>
  </si>
  <si>
    <t>(в 850 м западнее от с. Хову-Аксы)</t>
  </si>
  <si>
    <t xml:space="preserve">Колосник ведомый Т24.06.001 </t>
  </si>
  <si>
    <t>Колосник ведущий правый Т.24.06.004</t>
  </si>
  <si>
    <t>Винт ВДП-15 1Д.00.02.000</t>
  </si>
  <si>
    <t>Винт ВДП-15 1Д.00.02.000-01</t>
  </si>
  <si>
    <t>Дробильная установка ВДП-15 с электродвигателем</t>
  </si>
  <si>
    <t>Дутьевой вентилятор ДН-8 с электродвигателем АИР 20М6У2 22кВт 1000об/мин  (исполнение 1)</t>
  </si>
  <si>
    <t>Вентилятор острого дутья 19ЦС-63 с электродвигателем АИР 5АИ132М2 3000 об 1,1 квт,</t>
  </si>
  <si>
    <t>Плиты для забрасывателя (ПМЗ) чугунные, с размерами 1,2*1,2 м, толщиной 3 мм</t>
  </si>
  <si>
    <t>Электродвигатель АИР 130 10 кВт, 980 об/мин, на лапах с вентиляторным охлаждением</t>
  </si>
  <si>
    <t>Электродвигатель АИР 5А200М4ПУЗ 37кВт, 1500 об/мин, на лапах с вентиляторным охлаждением</t>
  </si>
  <si>
    <t>Бензиновый генератор переменного тока 8 кВт, 220 В</t>
  </si>
  <si>
    <t>Бензиновый генератор переменного тока 10 кВт, 220 В</t>
  </si>
  <si>
    <t xml:space="preserve">Транспортные расходы с НДС, руб. Хову-Аксы и Чаа-Холь </t>
  </si>
  <si>
    <t>Всего по Хову-Аксынскому участку</t>
  </si>
  <si>
    <t>3 017 593</t>
  </si>
  <si>
    <t xml:space="preserve">Чаа-Хольский участок </t>
  </si>
  <si>
    <t>(с. Чаа-Холь, ул. Ленина, д. 28)</t>
  </si>
  <si>
    <t>Центробежный дымосос ДН -12,5 *1000 об/мин, в сборе с улиткой, рабочим колесом,  вал и соединительная упругая втулочно-пальцевая муфта, сварная рама. Направление вращение – левое</t>
  </si>
  <si>
    <t>Чертеж прилагается</t>
  </si>
  <si>
    <t xml:space="preserve">Насос Д 320-50, с электродвигателем АИР250S4, 1500 об/мин, 45 кВт. </t>
  </si>
  <si>
    <t>Вентилятор ВДН 9 х 1000, в сборе рабочее колесо, корпус (улитка), всасывающий патрубок, направляющий аппарат, постамент. Направление вращения левое.</t>
  </si>
  <si>
    <t>Крышкка бункера ШЗУ котла марки КЕ-10-14С</t>
  </si>
  <si>
    <t>Электродвигатель асинхронный тип АИР 30 кВт 975 об/мин, на лапах с вентиляторным охлаждением</t>
  </si>
  <si>
    <t>Электродвигатель асинхронный тип АИР 15 кВт 965 об/мин, на лапах с вентиляторным охлаждением</t>
  </si>
  <si>
    <t>Электродвигатель асинхронный тип АИР 11 кВт 965 об/мин, на лапах с вентиляторным охлаждением</t>
  </si>
  <si>
    <t>Электродвигатель асинхронный тип АИР 7,5 кВт 1450 об/мин, на лапах с вентиляторным охлаждением</t>
  </si>
  <si>
    <t>Электродвигатель асинхронный тип АИР 2,2 кВт 935 об/мин, на лапах с вентиляторным охлаждением</t>
  </si>
  <si>
    <t xml:space="preserve">Транспортные расходы с НДС, руб. </t>
  </si>
  <si>
    <t xml:space="preserve">Всего по Чаа-Хольскому участку </t>
  </si>
  <si>
    <t>ИТОГО</t>
  </si>
  <si>
    <t>22 409 997</t>
  </si>
  <si>
    <t>экономайзера (свищ)</t>
  </si>
  <si>
    <t>Штырь Т68.03.001 (2 метровый)</t>
  </si>
  <si>
    <t>Плитки для забрасывателя чугун 1,2х1,2 м толщ=30 мм</t>
  </si>
  <si>
    <t>Наименование лота</t>
  </si>
  <si>
    <t>Участок</t>
  </si>
  <si>
    <t>Стоимость с НДС, руб.</t>
  </si>
  <si>
    <t>Транспортные расходы, руб.</t>
  </si>
  <si>
    <t xml:space="preserve">Поставка запорной арматуры, материалов для ремонта вспомогательного оборудования котельных и тепловых сетей </t>
  </si>
  <si>
    <t>Ак-Довуракский</t>
  </si>
  <si>
    <t>Шагонарский</t>
  </si>
  <si>
    <t xml:space="preserve">Хову-Аксынский </t>
  </si>
  <si>
    <t>Поставка стальных труб, отовдов и металлических изделий для ремонта тепловых сетей, вспомогательного оборудования котельных</t>
  </si>
  <si>
    <t>Хову-Аксынский</t>
  </si>
  <si>
    <t>Поставка электротехнических материалов, оборудования и контрольно-измерительных приборов для ремонта вспомогательного оборудования котельных</t>
  </si>
  <si>
    <t>Поставка оборудования, материалов для ремонта и замены вспомогательного оборудования котельных</t>
  </si>
  <si>
    <t>Чаа-Хольский</t>
  </si>
  <si>
    <t>Постака расходных и прочих материалов для ремонта вспомогательного оборудования котельных, тепловых сетей</t>
  </si>
  <si>
    <t>Поставка железобетонных изделий (плиты перекрытия лотков и лотки)</t>
  </si>
  <si>
    <t>Принятые затраты по транспортировке:</t>
  </si>
  <si>
    <t>Для маршрутов до Чаа-Холя, Шагонара, Хову-Аксы:</t>
  </si>
  <si>
    <t>Новосибирск-Абакан-Кызыл 1298 км</t>
  </si>
  <si>
    <t>руб.</t>
  </si>
  <si>
    <t>Красноярск-Абакан-Кызыл 799 км</t>
  </si>
  <si>
    <t>Барнаул-Кемерово-Абакан-Кызыл 1452 км</t>
  </si>
  <si>
    <t>Абакан-Кызыл 390 км</t>
  </si>
  <si>
    <t>Кызыл-Шагонар 113 км</t>
  </si>
  <si>
    <t>Кызыл-Хову-Аксы 112 км</t>
  </si>
  <si>
    <t>Кызыл-Чаа-Холь 184 км</t>
  </si>
  <si>
    <t>Для маршрутов до Ак-Довурака:</t>
  </si>
  <si>
    <t>Новосибирск-Абакан 909 км</t>
  </si>
  <si>
    <t>Красноярск-Абакан 410 км</t>
  </si>
  <si>
    <t>Барнаул-Кемерово-Абакан 1063 км</t>
  </si>
  <si>
    <t>Абакан-Абаза-Ак-Довурак 421 км</t>
  </si>
  <si>
    <t>Нижнее распределительное устройство нержавеющие для фильтров</t>
  </si>
  <si>
    <t>Капитальный ремонт конвективной части котлоагрегата № 1</t>
  </si>
  <si>
    <t>Конвейерная лента для топливоподачи, 2М650-5ТК-200-5*2, 650 мм,10 мм</t>
  </si>
  <si>
    <t>Трубы Д159*5,0 мм, ст.20, ГОСТ 10704-91 (244м)</t>
  </si>
  <si>
    <t>Отводы Д159*5 мм, ст. 20, ГОСТ 10704-91</t>
  </si>
  <si>
    <t xml:space="preserve">Трубы Д273*8 мм, ст. 20, ГОСТ 8732-78 (бесшовная 340 м) </t>
  </si>
  <si>
    <t>Трубы Д57*3,5 мм, ст. 20, ГОСТ 10704-91 (230 м)</t>
  </si>
  <si>
    <t xml:space="preserve">Замена трубопроводов тепловой сети от от ТК-6 до ТК-7 и ввод в дома </t>
  </si>
  <si>
    <t xml:space="preserve">от ТК-6 до ТК-7 (ТКМ-11) и ввод в 6 домов </t>
  </si>
  <si>
    <t>Трубы Д76*3,5 мм, ст. 20, ГОСТ 10704-91 (70 м)</t>
  </si>
  <si>
    <t>Трубы Д38*3 мм, ст. 20, ГОСТ 10704-91 (264 м)</t>
  </si>
  <si>
    <t>Трубы Д89*4 мм, ст. 20, ГОСТ 10704-91 (190 м)</t>
  </si>
  <si>
    <t>Отводы Д38*3 мм, ст. 20, ГОСТ 10704-91</t>
  </si>
  <si>
    <t>Отводы Д89*4 мм, ст. 20, ГОСТ 10704-92</t>
  </si>
  <si>
    <t>Скорлупа полная теплоизоляционная Д76, с защитной фольгированной оболочкой</t>
  </si>
  <si>
    <t>Скорлупа полная теплоизоляционная Д89, с защитной фольгированной оболочкой</t>
  </si>
  <si>
    <t>Труба стальная бесшовная с Д=508 мм толщиной 10 мм (50 м)</t>
  </si>
  <si>
    <t>Пиломатериал обрезной 40мм</t>
  </si>
  <si>
    <t xml:space="preserve">Трубопровод Интернациональная </t>
  </si>
  <si>
    <t>Ремонт трубопроводов тепловой сети протяженностью 150 п.м. в 2х трубном исполнении</t>
  </si>
  <si>
    <t>Ремонт трубопроводо тепловой сети протяженностью 100п.м. в 2х трубном исполнении</t>
  </si>
  <si>
    <t xml:space="preserve">Дополнительно к имеющимся трубопроводам протяженностью 50 п.м. в 2х трубном исполнении </t>
  </si>
  <si>
    <t>п.м</t>
  </si>
  <si>
    <t>Автоматический выключатель ВА 125 А, IEK</t>
  </si>
  <si>
    <t>Автоматический выключатель ВА 99/250 А, IEK</t>
  </si>
  <si>
    <t>Автоматический выключатель ВА47-100 А, IEK</t>
  </si>
  <si>
    <t>Автоматический выключатель ВА 63А, IEK</t>
  </si>
  <si>
    <t>Контактор малогабаритный 95А</t>
  </si>
  <si>
    <t>Контактор малогабаритный 80А</t>
  </si>
  <si>
    <t>Контактор малогабаритный 50А</t>
  </si>
  <si>
    <t xml:space="preserve">Завтор для ШЗУ. Чертеж прилагается </t>
  </si>
  <si>
    <t xml:space="preserve">Колпачок дренажный на распределительное устройство фильтра из нержавеющего материала </t>
  </si>
  <si>
    <t>Проведение работ по повышению надежности релейной защиты котельной</t>
  </si>
  <si>
    <t xml:space="preserve">Вентиль Д=20мм ГОСТ 9086-74 </t>
  </si>
  <si>
    <t>Клапан предохранительный марки 17ч18бр фланцевый, с Д=50 мм, Ру=16 кгс/см2</t>
  </si>
  <si>
    <t>На элеваторные узлы Саяно-Шушенская, д.8 и д.6</t>
  </si>
  <si>
    <t xml:space="preserve">Задвижки стальные фланцевые Д=80 мм, Ру= 16 кгс/см2 </t>
  </si>
  <si>
    <t>ежегодно подвергаются восстановлению, на сегодняшний день не подлежат восстановлению, из-за износа ВУК и арматуры</t>
  </si>
  <si>
    <t>Ремень клиновый 1550 А(А) ПМЗ, профиль А, гост 1284, размеры 1550*13*8</t>
  </si>
  <si>
    <t>Ремень клиновый 1600 А(А) ПМЗ, профиль А, гост 1284, размеры 1600*13*8</t>
  </si>
  <si>
    <t>Подшипники двухрядные шариковые № 1607</t>
  </si>
  <si>
    <t>Подшипники одорядные  шариковые № 309</t>
  </si>
  <si>
    <t>Трос стальной д=12 мм, Гост 2688-80</t>
  </si>
  <si>
    <t>Вязальная проволока  д=2 мм</t>
  </si>
  <si>
    <t>бухта</t>
  </si>
  <si>
    <t xml:space="preserve">Уголок разнополочный 50*75 мм </t>
  </si>
  <si>
    <t>Уголок равнополочный 50*50 мм</t>
  </si>
  <si>
    <t>Уголок равнополочный 70*70 мм</t>
  </si>
  <si>
    <t>Уголок равнополочный 100*100 мм</t>
  </si>
  <si>
    <t>Кирпич строительный огнеупорный марки ШБ-5</t>
  </si>
  <si>
    <t>Кузбасс лак (80л)</t>
  </si>
  <si>
    <t xml:space="preserve">Битум, 200 л - 1 бочок </t>
  </si>
  <si>
    <t>пиломатериал необрезной д=25</t>
  </si>
  <si>
    <t>Швеллер 24У</t>
  </si>
  <si>
    <t>Поставка запасных частей для ремонта спецтехники</t>
  </si>
  <si>
    <t>Аккумулятор 6СТ-132 АПЗ (920 EN, 513*189*230)</t>
  </si>
  <si>
    <t>Вал кардан. Г-3307 в сборе Зав. № 3307-2200011</t>
  </si>
  <si>
    <t>Генератор 2022. ЗИЛ-Бычок 2-х руч. 12v90А, Зав. № 2022.3771</t>
  </si>
  <si>
    <t>Насос топл. Зил-бычок  Д-245 "Motorpal"Зав. № РР4М10U1f-3486</t>
  </si>
  <si>
    <t>Устройство зарядное "С7 BOSCH" 12v (14-230А), 24v (14-120А)автомат, Зав. № 0-189-999-070</t>
  </si>
  <si>
    <t>Фильтр топл. МТЗ, Зав. № ФТО24-1117010</t>
  </si>
  <si>
    <t>Шина Г-53 8,25-20 (240-508)К-84(У-2) с камерой, без ободной ленты, Зав.№ У-2</t>
  </si>
  <si>
    <t xml:space="preserve">Закупка материалов </t>
  </si>
  <si>
    <t xml:space="preserve">Итого по закупке материалов </t>
  </si>
  <si>
    <t xml:space="preserve">Условный маршрут </t>
  </si>
  <si>
    <t xml:space="preserve">Грузопод. ТС, тн </t>
  </si>
  <si>
    <t xml:space="preserve">Затраты на поставку, руб. </t>
  </si>
  <si>
    <t xml:space="preserve">Стоимость работ, руб </t>
  </si>
  <si>
    <t xml:space="preserve">Иные расходы (НДС, непредвид. затраты), руб. </t>
  </si>
  <si>
    <t>Абакан-Кызыл-Шагонар</t>
  </si>
  <si>
    <t xml:space="preserve">Абакан-Абаза-Ак-Довурак </t>
  </si>
  <si>
    <t xml:space="preserve">Абакан- Кызыл-Хову-Аксы </t>
  </si>
  <si>
    <t xml:space="preserve">Количесвто рейсов </t>
  </si>
  <si>
    <t xml:space="preserve">Абакан-Кызыл-Шагонар </t>
  </si>
  <si>
    <t xml:space="preserve">Красноярск-Абакан-Кызыл-Шагонар </t>
  </si>
  <si>
    <t>Абакан-Кызыл-Хову-Аксы</t>
  </si>
  <si>
    <t>Красноярск-Абакан-Кызыл-Хову-Аксы</t>
  </si>
  <si>
    <t xml:space="preserve">Абакан-Кызыл-Чаа-Холь </t>
  </si>
  <si>
    <t xml:space="preserve">Красноярск - Кызыл-Ак-Довурак </t>
  </si>
  <si>
    <t>Кызыл-Шагонар</t>
  </si>
  <si>
    <t>Кызыл-Хову-Аксы</t>
  </si>
  <si>
    <t xml:space="preserve">Кызыл-Чаа-Холь </t>
  </si>
  <si>
    <t xml:space="preserve">Барнаул-Кемерово-Абакан-Абаза-Ак-довурак </t>
  </si>
  <si>
    <t>Барнаул-Кемерово-Абакан-Кызыл-Шагонар</t>
  </si>
  <si>
    <t>Барнаул-Кемерово-Абакан-Кызыл-Хову-Аксы</t>
  </si>
  <si>
    <t>Барнаул-Кемерово-Абакан-Кызыл- Чаа-Холь</t>
  </si>
  <si>
    <t>Лента стальная 0,5*20</t>
  </si>
  <si>
    <t xml:space="preserve">Кузбасс Лак </t>
  </si>
  <si>
    <t>п.м.</t>
  </si>
  <si>
    <t>Скорлупа полная теплоизоляционная отвода с Д325, с защитной фольгированной оболочкой</t>
  </si>
  <si>
    <t>Скорлупа полная теплоизоляционная для трубопровода с Д325, с защитной фольгированной оболочкой</t>
  </si>
  <si>
    <t>Теплоизоляция участка тепловых сетей по ул. Данзырык К. От ТК-2 до ТК-7 L=120 м.</t>
  </si>
  <si>
    <t>Лента стальная 0,5*20 мм, ГОСт 3560-73</t>
  </si>
  <si>
    <t>Лента стальная упаковочная 0,5*20 мм ГОСТ-3560-73</t>
  </si>
  <si>
    <t>комп.</t>
  </si>
  <si>
    <t xml:space="preserve">Кызыл-Ак-Довурак </t>
  </si>
  <si>
    <t xml:space="preserve">Кызыл-Шагонар </t>
  </si>
  <si>
    <t xml:space="preserve">Приобретение запасных частей для спецтехники </t>
  </si>
  <si>
    <t>Итого по участку Шагонарский</t>
  </si>
  <si>
    <t xml:space="preserve">Хоз.спсоб </t>
  </si>
  <si>
    <t xml:space="preserve">Приобретение автоматических выключателей, контакторов </t>
  </si>
  <si>
    <t>Магнитный пускатель 250А</t>
  </si>
  <si>
    <t>Швеллер 24 У</t>
  </si>
  <si>
    <t xml:space="preserve">Транспортные расходы по участку Ак-Довуракский </t>
  </si>
  <si>
    <t xml:space="preserve">Транспортные расходы по участку Шагонарский </t>
  </si>
  <si>
    <t xml:space="preserve">Транспортные расходы по учатку Чаа-Холь </t>
  </si>
  <si>
    <t xml:space="preserve">Транспортные расходы по участку Хову-Аксынский </t>
  </si>
  <si>
    <t xml:space="preserve">Итого общая сумма </t>
  </si>
  <si>
    <t>Проведение работ по капитальному ремонту основного оборудования котельных, магистральных тепловых сетей, газоходов котлоагрегата, участка паропровода</t>
  </si>
  <si>
    <t>Капитальный ремонт КА № 7, замена газоходов КА № 6 от КА до дымососа, замена паропровода 309-п,  замена магистральных тепловых сетей по ул. Юбилейная (от ТК № 53 до ТК № 56, наружный диаметр 273 мм, протяженность в однотрубном исчислении 300 м)</t>
  </si>
  <si>
    <t>Капитальный ремонт КА № 4, замена квартальных тепловых сетей по ул. Горная (от ТКМ № 3 до ТК № 37, наружные диаметры 108 мм, 89 мм, 76 мм, 45 мм, общая протяженность в однотрубном исчислении 1110 м)</t>
  </si>
  <si>
    <t>Замена магистральных тепловых сетей по ул. Сундуй Андрея (от ТК № 3 до ТК № 7, наружный диаметр 219 мм, протяженность в однотрубном исчислении 700 м), по ул. Ленина (от ТК № 22 до ТК № 24, наружный диаметр 219 мм, протяженность в однотрубном исчислении 300 м)</t>
  </si>
  <si>
    <t>Капитальный ремонт КА № 1</t>
  </si>
  <si>
    <t>Ак-Довуракский                                  (4 наименования работ)</t>
  </si>
  <si>
    <t>Шагонарский                              (2 наименования работ)</t>
  </si>
  <si>
    <t>Чаа-Хольский                                (2 наименования работ)</t>
  </si>
  <si>
    <t>Хову-Аксынский                            (1 наименование работы)</t>
  </si>
  <si>
    <t>Объем финанасирования на уровне 2020 г.</t>
  </si>
  <si>
    <t xml:space="preserve">Проведение капитального ремонта кровли здания котельной, сооружений </t>
  </si>
  <si>
    <r>
      <t>Кровля части здания котельной, мехцех, склад с общей площадью 600 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</si>
  <si>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Кровля части здания котельной площадью 1200 м</t>
    </r>
    <r>
      <rPr>
        <vertAlign val="superscript"/>
        <sz val="12"/>
        <color theme="1"/>
        <rFont val="Times New Roman"/>
        <family val="1"/>
        <charset val="204"/>
      </rPr>
      <t>2</t>
    </r>
  </si>
  <si>
    <t>Котлоагрегат № 6, паропровод 309-п, ПСВ № 1, № 2, № 3</t>
  </si>
  <si>
    <t>Ак-Довуракский (5 наименований техническтх устройств)</t>
  </si>
  <si>
    <t xml:space="preserve">Котлоагрегат № 3, № 4, № 5, паропровод от котлоагрегата № 2 до РОУ </t>
  </si>
  <si>
    <t>Шагонарский (4 наименования технических устройств)</t>
  </si>
  <si>
    <r>
      <t>Установка сэндвич-панелей с общей площадью 300 м</t>
    </r>
    <r>
      <rPr>
        <vertAlign val="superscript"/>
        <sz val="12"/>
        <color theme="1"/>
        <rFont val="Times New Roman"/>
        <family val="1"/>
        <charset val="204"/>
      </rPr>
      <t>2</t>
    </r>
  </si>
  <si>
    <t>Проведение капитального ремонта по утеплению наружной части стен здания котельной</t>
  </si>
  <si>
    <t>Установка 25 опор освещения со светильниками</t>
  </si>
  <si>
    <t>Установка 7 опор освещения со светильниками</t>
  </si>
  <si>
    <t>Установка 30 опор освещения со светильниками</t>
  </si>
  <si>
    <t>Проведение ремонта ВЛ 6 кВ             ф. 1-04 и ф. 1-09</t>
  </si>
  <si>
    <t xml:space="preserve">Итого по подрядным работам </t>
  </si>
  <si>
    <t>В стадии разработки</t>
  </si>
  <si>
    <t>Подрядные работы</t>
  </si>
  <si>
    <t>Материалы</t>
  </si>
  <si>
    <t>Всего</t>
  </si>
  <si>
    <t>Трансп. расходы</t>
  </si>
  <si>
    <t>Лоты по выполнению подрядных работ и поставке материалов, оборудования при подготовке к ОЗП 2021-2022 гг.</t>
  </si>
  <si>
    <t xml:space="preserve">Распределение затрат на выполнение подрядных работ </t>
  </si>
  <si>
    <t xml:space="preserve">Стоимость матриалов,                  руб. </t>
  </si>
  <si>
    <t>Общая стоимость с НДС,                        руб.</t>
  </si>
  <si>
    <t>Выполнение работ по экспертизе промышленной безопасности технических устройств ОПО</t>
  </si>
  <si>
    <t>В том числе установка 11 железобетонных опор ВЛ 6-10 кВ с траверсами с двойными приставками</t>
  </si>
  <si>
    <t xml:space="preserve">Проведение работ по реконструкции системы отопления помещений в котельной </t>
  </si>
  <si>
    <t>Ак-Довуракский участок</t>
  </si>
  <si>
    <t>Шагонарский участок</t>
  </si>
  <si>
    <t>Итого по Шагонарскому участку</t>
  </si>
  <si>
    <t>Стоимость материала,                      руб.</t>
  </si>
  <si>
    <t>Наименование материала, оборудования</t>
  </si>
  <si>
    <t xml:space="preserve">Стоимость материалов,                  руб. </t>
  </si>
  <si>
    <t xml:space="preserve">Иные расходы (НДС, непредвид. затраты, др.), руб. </t>
  </si>
  <si>
    <t>Проведение работ по капитальному ремонту основного и вспомогательного оборудования котельных</t>
  </si>
  <si>
    <t xml:space="preserve">Ак-Довуракский                                 </t>
  </si>
  <si>
    <t xml:space="preserve">1. Капитальный ремонт поверхностей нагрева правого бокового экрана, фронтового экрана от верхнего до нижнего коллекторов котлоагрегата К-35-40 № 8                                  </t>
  </si>
  <si>
    <t>2. Капитальный ремонт пароперегревателя (две ступени, пароохладитель) котлоагрегата К-35-40 № 6</t>
  </si>
  <si>
    <t xml:space="preserve">4. Капитальный ремонт газохода котлоагрегата К-35-40 № 6 (участки от котлоагрегата до батарейного циклона, от батарейного циклона до дымососа)                    </t>
  </si>
  <si>
    <t>7. Капитальный ремонт газохода котлоагрегата КВ-ТС-20-150П  № 3 (участок от батарейного циклона до дымососа)</t>
  </si>
  <si>
    <t xml:space="preserve">Хову-Аксынский                          </t>
  </si>
  <si>
    <t>8. Капитальный ремонт поверхностей нагрева боковых экранов котлоагрегата КВ-ТС-6,5-115 № 1</t>
  </si>
  <si>
    <t>Замена сильфонных компенсаторов на участках магистральных тепловых сетях на П-образные компенсаторы в с. Хову-Аксы</t>
  </si>
  <si>
    <t>Проведение работ капитальному ремонту наружных стен здания котельной с повышением тепловой защиты</t>
  </si>
  <si>
    <t>Ремонт кровли КРУ-2 и Турбинного цеха в г. Ак-Довураке</t>
  </si>
  <si>
    <t>3. Капитальный ремонт экономайзера (две ступени) котлоагрегата К-35-40 № 6</t>
  </si>
  <si>
    <t xml:space="preserve">Ремонт Фидера 1-09 и 1-04 </t>
  </si>
  <si>
    <t>9. Капитальный ремонт кровли КРУ-2 и турбинного цеха котельной</t>
  </si>
  <si>
    <r>
      <t>11. Стеновое ограждение с южной стороны котельной, площадь 720 м</t>
    </r>
    <r>
      <rPr>
        <vertAlign val="superscript"/>
        <sz val="12"/>
        <color theme="1"/>
        <rFont val="Times New Roman"/>
        <family val="1"/>
        <charset val="204"/>
      </rPr>
      <t>2</t>
    </r>
  </si>
  <si>
    <t>12. Замена сильфонных компенсаторов на участках магистральных тепловых сетях на П-образные компенсаторы в с. Хову-Аксы</t>
  </si>
  <si>
    <t xml:space="preserve">5. Капитальный ремонт поверхностей нагрева боковых экранов, заднего экрана от верхнего до нижнего коллекторов котлоагрегата КВ-ТС-20-150П № 5        </t>
  </si>
  <si>
    <t>Стоимость с НДС,                                   руб.</t>
  </si>
  <si>
    <t>Транспорт</t>
  </si>
  <si>
    <t>Поставка стальных труб, отводов и металлических изделий для ремонта тепловых сетей, вспомогательного оборудования котельных</t>
  </si>
  <si>
    <t>Общая сумма, руб</t>
  </si>
  <si>
    <r>
      <t xml:space="preserve">6. Капитальный ремонт газохода котлоагрегата КВ-ТС-20-150П  № 4 (участок от батарейного циклона до дымососа). </t>
    </r>
    <r>
      <rPr>
        <b/>
        <sz val="12"/>
        <color theme="1"/>
        <rFont val="Times New Roman"/>
        <family val="1"/>
        <charset val="204"/>
      </rPr>
      <t>Финансирование за счет собственные средства</t>
    </r>
  </si>
  <si>
    <r>
      <t xml:space="preserve">10. Капитальный ремонт фидеров 1-04 и 1-09. </t>
    </r>
    <r>
      <rPr>
        <b/>
        <sz val="12"/>
        <color theme="1"/>
        <rFont val="Times New Roman"/>
        <family val="1"/>
        <charset val="204"/>
      </rPr>
      <t>Финансирование за счет собственный средств</t>
    </r>
  </si>
  <si>
    <t>Итого, руб</t>
  </si>
  <si>
    <t>Проект лотов по выполнению подрядных работ при подготовке к ОЗП 2023-2024 гг.</t>
  </si>
  <si>
    <t>Лоты по поставке материалов, оборудования при подготовке к ОЗП 2023-2024 гг.</t>
  </si>
  <si>
    <t>ЖБИ кольца КС 15-9  диаметром 1,5 м высота 0.9м</t>
  </si>
  <si>
    <t>Плита перекрытия ПП 15-2 наружный диаметр плиты 1600 мм    ГОСТ 8020-90</t>
  </si>
  <si>
    <t>Итого по Хову-Аксынскому участку</t>
  </si>
  <si>
    <t>Всего по 3 участкам</t>
  </si>
  <si>
    <t xml:space="preserve">Всего по Ак-Довуракскому участку </t>
  </si>
  <si>
    <t>Плита перекрытия ПП 15-2 наружный диаметр плиты 1720 мм    ГОСТ 8020-90</t>
  </si>
  <si>
    <t>Лотки ЖБИ марки Л 5-8-30-80 2970х780х530, вес 900 кг, серия Б3.006.1-1.03</t>
  </si>
  <si>
    <t>Плита перекрытия для канала П5-8 2990х780х70 Серия 3.006.1-2.87, масса - 0.41 тн</t>
  </si>
  <si>
    <t>Бетонное кольцо колодезное КС 20-9 диаметр 2200 мм, высота 890 мм серия 3.900.1-14, масса - 1.48 тн</t>
  </si>
  <si>
    <t>ЖБИ лотки марки Л 7-8/2, 2970х1160*680, ГОСТ 13015-2012</t>
  </si>
  <si>
    <t>ЖБИ Плита перекрытия П5-8 2970х780х70, ГОСТ 13015-2012</t>
  </si>
  <si>
    <t>ЖБИ Плита перекрытия П9-15 2970х1160х120, ГОСТ 13015-2012</t>
  </si>
  <si>
    <t>ЖБИ Крышка с диаметром: 2200 мм, с толщиной 160 мм</t>
  </si>
  <si>
    <t>ЖБИ кольца КС 20-9 диамтером 2200 мм высотой 890 мм</t>
  </si>
  <si>
    <t>Средняя цена за ед. с НДС, руб</t>
  </si>
  <si>
    <t>КП-1</t>
  </si>
  <si>
    <t>КП-2</t>
  </si>
  <si>
    <t>КП-3</t>
  </si>
  <si>
    <t>Метод сопоставимых рыночных цен (анализ рынка): для определения НМЦ закупки применялся метод сопоставимых рыночных цен. Коммерческие предложении запрашивались  по запросу  у предпрятий занимающихся поставкой и изготовлением котельного оборудования</t>
  </si>
  <si>
    <t>НМЦД - 3059893.98 руб. (три миллиона пятьдесят девять тысяч восемьсот девяносто три) рубля 98 копеек, включая НДС (22%) в сумме 551784.16 руб. (пятьсот пятьдесят одна тысяча семьсот восемьдесят четыре) рубля 16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</si>
</sst>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#,##0\ _₽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scheme val="minor"/>
    </font>
    <font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name val="Arial Cyr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2D2A2A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0">
    <xf numFmtId="0" fontId="0" fillId="0" borderId="0"/>
    <xf numFmtId="164" fontId="19" fillId="0" borderId="0" applyFont="0" applyFill="0" applyBorder="0" applyAlignment="0" applyProtection="0"/>
    <xf numFmtId="0" fontId="12" fillId="0" borderId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1" fillId="0" borderId="0"/>
    <xf numFmtId="0" fontId="27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0" fontId="9" fillId="0" borderId="0"/>
    <xf numFmtId="43" fontId="1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6" fillId="0" borderId="0"/>
    <xf numFmtId="164" fontId="19" fillId="0" borderId="0" applyFont="0" applyFill="0" applyBorder="0" applyAlignment="0" applyProtection="0"/>
    <xf numFmtId="0" fontId="7" fillId="0" borderId="0"/>
    <xf numFmtId="164" fontId="19" fillId="0" borderId="0" applyFont="0" applyFill="0" applyBorder="0" applyAlignment="0" applyProtection="0"/>
    <xf numFmtId="0" fontId="7" fillId="0" borderId="0"/>
    <xf numFmtId="44" fontId="1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8" fillId="0" borderId="0"/>
    <xf numFmtId="164" fontId="19" fillId="0" borderId="0" applyFont="0" applyFill="0" applyBorder="0" applyAlignment="0" applyProtection="0"/>
    <xf numFmtId="0" fontId="6" fillId="0" borderId="0"/>
    <xf numFmtId="164" fontId="19" fillId="0" borderId="0" applyFont="0" applyFill="0" applyBorder="0" applyAlignment="0" applyProtection="0"/>
    <xf numFmtId="0" fontId="6" fillId="0" borderId="0"/>
    <xf numFmtId="44" fontId="1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19" fillId="0" borderId="0" applyFont="0" applyFill="0" applyBorder="0" applyAlignment="0" applyProtection="0"/>
    <xf numFmtId="0" fontId="6" fillId="0" borderId="0"/>
    <xf numFmtId="164" fontId="19" fillId="0" borderId="0" applyFont="0" applyFill="0" applyBorder="0" applyAlignment="0" applyProtection="0"/>
    <xf numFmtId="0" fontId="6" fillId="0" borderId="0"/>
    <xf numFmtId="44" fontId="1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19" fillId="0" borderId="0" applyFont="0" applyFill="0" applyBorder="0" applyAlignment="0" applyProtection="0"/>
    <xf numFmtId="0" fontId="5" fillId="0" borderId="0"/>
    <xf numFmtId="164" fontId="19" fillId="0" borderId="0" applyFont="0" applyFill="0" applyBorder="0" applyAlignment="0" applyProtection="0"/>
    <xf numFmtId="0" fontId="5" fillId="0" borderId="0"/>
    <xf numFmtId="44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19" fillId="0" borderId="0" applyFont="0" applyFill="0" applyBorder="0" applyAlignment="0" applyProtection="0"/>
    <xf numFmtId="0" fontId="5" fillId="0" borderId="0"/>
    <xf numFmtId="164" fontId="19" fillId="0" borderId="0" applyFont="0" applyFill="0" applyBorder="0" applyAlignment="0" applyProtection="0"/>
    <xf numFmtId="0" fontId="5" fillId="0" borderId="0"/>
    <xf numFmtId="44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92">
    <xf numFmtId="0" fontId="0" fillId="0" borderId="0" xfId="0"/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5" fillId="3" borderId="1" xfId="0" applyFont="1" applyFill="1" applyBorder="1"/>
    <xf numFmtId="0" fontId="15" fillId="0" borderId="1" xfId="0" applyFont="1" applyBorder="1"/>
    <xf numFmtId="0" fontId="15" fillId="4" borderId="1" xfId="0" applyFont="1" applyFill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5" fillId="4" borderId="6" xfId="0" applyFont="1" applyFill="1" applyBorder="1" applyAlignment="1">
      <alignment horizontal="center"/>
    </xf>
    <xf numFmtId="0" fontId="15" fillId="4" borderId="6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0" fillId="0" borderId="1" xfId="0" applyBorder="1"/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6" borderId="1" xfId="0" applyFont="1" applyFill="1" applyBorder="1"/>
    <xf numFmtId="0" fontId="15" fillId="0" borderId="1" xfId="0" applyFont="1" applyBorder="1" applyAlignment="1">
      <alignment horizont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vertical="center" wrapText="1"/>
    </xf>
    <xf numFmtId="165" fontId="16" fillId="6" borderId="1" xfId="1" applyNumberFormat="1" applyFont="1" applyFill="1" applyBorder="1" applyAlignment="1">
      <alignment horizontal="center" vertical="center"/>
    </xf>
    <xf numFmtId="0" fontId="16" fillId="6" borderId="1" xfId="0" applyFont="1" applyFill="1" applyBorder="1"/>
    <xf numFmtId="165" fontId="16" fillId="6" borderId="1" xfId="1" applyNumberFormat="1" applyFont="1" applyFill="1" applyBorder="1"/>
    <xf numFmtId="165" fontId="15" fillId="6" borderId="1" xfId="0" applyNumberFormat="1" applyFont="1" applyFill="1" applyBorder="1"/>
    <xf numFmtId="0" fontId="18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0" fontId="16" fillId="6" borderId="6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165" fontId="15" fillId="0" borderId="6" xfId="1" applyNumberFormat="1" applyFont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5" fontId="16" fillId="6" borderId="1" xfId="0" applyNumberFormat="1" applyFont="1" applyFill="1" applyBorder="1" applyAlignment="1">
      <alignment vertical="center"/>
    </xf>
    <xf numFmtId="165" fontId="16" fillId="6" borderId="1" xfId="1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165" fontId="16" fillId="6" borderId="1" xfId="0" applyNumberFormat="1" applyFont="1" applyFill="1" applyBorder="1"/>
    <xf numFmtId="0" fontId="16" fillId="3" borderId="1" xfId="0" applyFont="1" applyFill="1" applyBorder="1"/>
    <xf numFmtId="165" fontId="16" fillId="3" borderId="1" xfId="0" applyNumberFormat="1" applyFont="1" applyFill="1" applyBorder="1"/>
    <xf numFmtId="165" fontId="16" fillId="3" borderId="1" xfId="1" applyNumberFormat="1" applyFont="1" applyFill="1" applyBorder="1"/>
    <xf numFmtId="165" fontId="16" fillId="3" borderId="1" xfId="1" applyNumberFormat="1" applyFont="1" applyFill="1" applyBorder="1" applyAlignment="1">
      <alignment vertical="center"/>
    </xf>
    <xf numFmtId="0" fontId="15" fillId="2" borderId="6" xfId="0" applyFont="1" applyFill="1" applyBorder="1"/>
    <xf numFmtId="0" fontId="15" fillId="4" borderId="13" xfId="0" applyFont="1" applyFill="1" applyBorder="1" applyAlignment="1">
      <alignment horizontal="center" vertical="center"/>
    </xf>
    <xf numFmtId="165" fontId="17" fillId="2" borderId="6" xfId="1" applyNumberFormat="1" applyFont="1" applyFill="1" applyBorder="1" applyAlignment="1">
      <alignment vertical="center"/>
    </xf>
    <xf numFmtId="0" fontId="15" fillId="2" borderId="1" xfId="0" applyFont="1" applyFill="1" applyBorder="1"/>
    <xf numFmtId="0" fontId="16" fillId="2" borderId="1" xfId="0" applyFont="1" applyFill="1" applyBorder="1"/>
    <xf numFmtId="0" fontId="21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4" borderId="0" xfId="0" applyFill="1"/>
    <xf numFmtId="165" fontId="15" fillId="4" borderId="5" xfId="1" applyNumberFormat="1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/>
    </xf>
    <xf numFmtId="165" fontId="16" fillId="2" borderId="1" xfId="1" applyNumberFormat="1" applyFont="1" applyFill="1" applyBorder="1"/>
    <xf numFmtId="0" fontId="15" fillId="7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left" vertical="center" wrapText="1"/>
    </xf>
    <xf numFmtId="165" fontId="14" fillId="4" borderId="1" xfId="1" applyNumberFormat="1" applyFont="1" applyFill="1" applyBorder="1" applyAlignment="1">
      <alignment horizontal="left" vertical="center" wrapText="1"/>
    </xf>
    <xf numFmtId="165" fontId="16" fillId="7" borderId="1" xfId="1" applyNumberFormat="1" applyFont="1" applyFill="1" applyBorder="1"/>
    <xf numFmtId="165" fontId="23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14" fillId="0" borderId="6" xfId="1" applyNumberFormat="1" applyFont="1" applyBorder="1" applyAlignment="1">
      <alignment horizontal="left" vertical="center" wrapText="1"/>
    </xf>
    <xf numFmtId="165" fontId="15" fillId="0" borderId="5" xfId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5" fillId="8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vertical="center"/>
    </xf>
    <xf numFmtId="165" fontId="14" fillId="0" borderId="5" xfId="1" applyNumberFormat="1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vertical="center" wrapText="1"/>
    </xf>
    <xf numFmtId="165" fontId="16" fillId="7" borderId="1" xfId="1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/>
    </xf>
    <xf numFmtId="165" fontId="23" fillId="7" borderId="1" xfId="0" applyNumberFormat="1" applyFont="1" applyFill="1" applyBorder="1"/>
    <xf numFmtId="165" fontId="23" fillId="7" borderId="1" xfId="1" applyNumberFormat="1" applyFont="1" applyFill="1" applyBorder="1"/>
    <xf numFmtId="0" fontId="14" fillId="4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5" borderId="6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left" vertical="center"/>
    </xf>
    <xf numFmtId="0" fontId="28" fillId="5" borderId="1" xfId="0" applyFont="1" applyFill="1" applyBorder="1"/>
    <xf numFmtId="0" fontId="28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5" fontId="15" fillId="4" borderId="1" xfId="1" applyNumberFormat="1" applyFont="1" applyFill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165" fontId="15" fillId="4" borderId="1" xfId="1" applyNumberFormat="1" applyFont="1" applyFill="1" applyBorder="1" applyAlignment="1">
      <alignment horizontal="center"/>
    </xf>
    <xf numFmtId="165" fontId="15" fillId="4" borderId="1" xfId="1" applyNumberFormat="1" applyFont="1" applyFill="1" applyBorder="1" applyAlignment="1">
      <alignment horizontal="left" vertical="center"/>
    </xf>
    <xf numFmtId="165" fontId="15" fillId="4" borderId="1" xfId="1" applyNumberFormat="1" applyFont="1" applyFill="1" applyBorder="1" applyAlignment="1">
      <alignment horizontal="left" vertical="center" wrapText="1"/>
    </xf>
    <xf numFmtId="165" fontId="15" fillId="0" borderId="1" xfId="1" applyNumberFormat="1" applyFont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165" fontId="15" fillId="4" borderId="1" xfId="1" applyNumberFormat="1" applyFont="1" applyFill="1" applyBorder="1"/>
    <xf numFmtId="0" fontId="14" fillId="4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165" fontId="15" fillId="4" borderId="6" xfId="1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5" xfId="2" applyFont="1" applyFill="1" applyBorder="1" applyAlignment="1">
      <alignment horizontal="center" vertical="center" wrapText="1"/>
    </xf>
    <xf numFmtId="0" fontId="24" fillId="4" borderId="1" xfId="2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165" fontId="14" fillId="4" borderId="1" xfId="1" applyNumberFormat="1" applyFont="1" applyFill="1" applyBorder="1" applyAlignment="1">
      <alignment vertical="center"/>
    </xf>
    <xf numFmtId="0" fontId="14" fillId="4" borderId="4" xfId="0" applyFont="1" applyFill="1" applyBorder="1"/>
    <xf numFmtId="0" fontId="14" fillId="4" borderId="1" xfId="0" applyFont="1" applyFill="1" applyBorder="1"/>
    <xf numFmtId="0" fontId="15" fillId="4" borderId="5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vertical="center" wrapText="1"/>
    </xf>
    <xf numFmtId="0" fontId="15" fillId="4" borderId="13" xfId="0" applyFont="1" applyFill="1" applyBorder="1"/>
    <xf numFmtId="0" fontId="15" fillId="4" borderId="7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vertical="center" wrapText="1"/>
    </xf>
    <xf numFmtId="0" fontId="15" fillId="4" borderId="4" xfId="0" applyFont="1" applyFill="1" applyBorder="1"/>
    <xf numFmtId="0" fontId="30" fillId="9" borderId="15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vertical="center" wrapText="1"/>
    </xf>
    <xf numFmtId="0" fontId="18" fillId="9" borderId="20" xfId="0" applyFont="1" applyFill="1" applyBorder="1" applyAlignment="1">
      <alignment horizontal="center" vertical="center" wrapText="1"/>
    </xf>
    <xf numFmtId="3" fontId="18" fillId="9" borderId="20" xfId="0" applyNumberFormat="1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justify" vertical="center" wrapText="1"/>
    </xf>
    <xf numFmtId="0" fontId="18" fillId="9" borderId="20" xfId="0" applyFont="1" applyFill="1" applyBorder="1" applyAlignment="1">
      <alignment vertical="center" wrapText="1"/>
    </xf>
    <xf numFmtId="0" fontId="10" fillId="9" borderId="20" xfId="0" applyFont="1" applyFill="1" applyBorder="1" applyAlignment="1">
      <alignment vertical="center" wrapText="1"/>
    </xf>
    <xf numFmtId="0" fontId="32" fillId="9" borderId="20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justify" vertical="center" wrapText="1"/>
    </xf>
    <xf numFmtId="0" fontId="30" fillId="9" borderId="20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vertical="center" wrapText="1"/>
    </xf>
    <xf numFmtId="0" fontId="30" fillId="9" borderId="21" xfId="0" applyFont="1" applyFill="1" applyBorder="1" applyAlignment="1">
      <alignment vertical="center" wrapText="1"/>
    </xf>
    <xf numFmtId="3" fontId="30" fillId="9" borderId="20" xfId="0" applyNumberFormat="1" applyFont="1" applyFill="1" applyBorder="1" applyAlignment="1">
      <alignment horizontal="center" vertical="center" wrapText="1"/>
    </xf>
    <xf numFmtId="0" fontId="31" fillId="9" borderId="20" xfId="0" applyFont="1" applyFill="1" applyBorder="1" applyAlignment="1">
      <alignment horizontal="center" vertical="center" wrapText="1"/>
    </xf>
    <xf numFmtId="3" fontId="31" fillId="9" borderId="20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left" vertical="center"/>
    </xf>
    <xf numFmtId="0" fontId="33" fillId="0" borderId="0" xfId="0" applyFont="1"/>
    <xf numFmtId="165" fontId="15" fillId="4" borderId="1" xfId="1" applyNumberFormat="1" applyFont="1" applyFill="1" applyBorder="1" applyAlignment="1">
      <alignment horizontal="right" vertical="center"/>
    </xf>
    <xf numFmtId="0" fontId="17" fillId="7" borderId="1" xfId="0" applyFont="1" applyFill="1" applyBorder="1"/>
    <xf numFmtId="165" fontId="16" fillId="2" borderId="1" xfId="0" applyNumberFormat="1" applyFont="1" applyFill="1" applyBorder="1"/>
    <xf numFmtId="164" fontId="15" fillId="4" borderId="6" xfId="1" applyFont="1" applyFill="1" applyBorder="1" applyAlignment="1">
      <alignment horizontal="center" vertical="center"/>
    </xf>
    <xf numFmtId="166" fontId="15" fillId="4" borderId="1" xfId="1" applyNumberFormat="1" applyFont="1" applyFill="1" applyBorder="1" applyAlignment="1">
      <alignment horizontal="center" vertical="center"/>
    </xf>
    <xf numFmtId="164" fontId="15" fillId="4" borderId="1" xfId="1" applyFont="1" applyFill="1" applyBorder="1" applyAlignment="1">
      <alignment horizontal="center" vertical="center"/>
    </xf>
    <xf numFmtId="166" fontId="15" fillId="4" borderId="1" xfId="1" applyNumberFormat="1" applyFont="1" applyFill="1" applyBorder="1" applyAlignment="1">
      <alignment horizontal="center" vertical="center" wrapText="1"/>
    </xf>
    <xf numFmtId="165" fontId="14" fillId="4" borderId="6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left" vertical="center" wrapText="1"/>
    </xf>
    <xf numFmtId="0" fontId="14" fillId="12" borderId="6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/>
    </xf>
    <xf numFmtId="0" fontId="15" fillId="12" borderId="1" xfId="0" applyFont="1" applyFill="1" applyBorder="1" applyAlignment="1">
      <alignment horizontal="left" vertical="center"/>
    </xf>
    <xf numFmtId="0" fontId="15" fillId="12" borderId="6" xfId="0" applyFont="1" applyFill="1" applyBorder="1" applyAlignment="1">
      <alignment horizontal="left" vertical="center" wrapText="1"/>
    </xf>
    <xf numFmtId="0" fontId="15" fillId="12" borderId="1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left" vertical="center" wrapText="1"/>
    </xf>
    <xf numFmtId="165" fontId="15" fillId="5" borderId="1" xfId="1" applyNumberFormat="1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left" vertical="center" wrapText="1"/>
    </xf>
    <xf numFmtId="0" fontId="14" fillId="12" borderId="5" xfId="2" applyFont="1" applyFill="1" applyBorder="1" applyAlignment="1">
      <alignment horizontal="left" vertical="center" wrapText="1"/>
    </xf>
    <xf numFmtId="0" fontId="14" fillId="12" borderId="1" xfId="2" applyFont="1" applyFill="1" applyBorder="1" applyAlignment="1">
      <alignment horizontal="left" vertical="center" wrapText="1"/>
    </xf>
    <xf numFmtId="0" fontId="24" fillId="12" borderId="1" xfId="0" applyFont="1" applyFill="1" applyBorder="1" applyAlignment="1">
      <alignment horizontal="left" vertical="center" wrapText="1"/>
    </xf>
    <xf numFmtId="0" fontId="15" fillId="12" borderId="5" xfId="0" applyFont="1" applyFill="1" applyBorder="1" applyAlignment="1">
      <alignment horizontal="left" vertical="center" wrapText="1"/>
    </xf>
    <xf numFmtId="0" fontId="15" fillId="12" borderId="1" xfId="0" applyFont="1" applyFill="1" applyBorder="1" applyAlignment="1">
      <alignment horizontal="center" vertical="center" wrapText="1"/>
    </xf>
    <xf numFmtId="165" fontId="15" fillId="5" borderId="1" xfId="1" applyNumberFormat="1" applyFont="1" applyFill="1" applyBorder="1" applyAlignment="1">
      <alignment horizontal="left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1" xfId="1" applyNumberFormat="1" applyFont="1" applyFill="1" applyBorder="1" applyAlignment="1">
      <alignment horizontal="left" vertical="center" wrapText="1"/>
    </xf>
    <xf numFmtId="165" fontId="15" fillId="5" borderId="1" xfId="1" applyNumberFormat="1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left" vertical="center" wrapText="1"/>
    </xf>
    <xf numFmtId="165" fontId="15" fillId="10" borderId="1" xfId="1" applyNumberFormat="1" applyFont="1" applyFill="1" applyBorder="1" applyAlignment="1">
      <alignment horizontal="left" vertical="center" wrapText="1"/>
    </xf>
    <xf numFmtId="165" fontId="15" fillId="10" borderId="6" xfId="1" applyNumberFormat="1" applyFont="1" applyFill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24" fillId="10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/>
    </xf>
    <xf numFmtId="0" fontId="14" fillId="13" borderId="1" xfId="0" applyFont="1" applyFill="1" applyBorder="1" applyAlignment="1">
      <alignment horizontal="left" vertical="center" wrapText="1"/>
    </xf>
    <xf numFmtId="0" fontId="26" fillId="13" borderId="1" xfId="0" applyFont="1" applyFill="1" applyBorder="1" applyAlignment="1">
      <alignment horizontal="left" vertical="center"/>
    </xf>
    <xf numFmtId="0" fontId="14" fillId="13" borderId="0" xfId="0" applyFont="1" applyFill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/>
    </xf>
    <xf numFmtId="0" fontId="20" fillId="13" borderId="0" xfId="0" applyFont="1" applyFill="1" applyAlignment="1">
      <alignment horizontal="left" vertical="center" wrapText="1"/>
    </xf>
    <xf numFmtId="0" fontId="18" fillId="11" borderId="1" xfId="0" applyFont="1" applyFill="1" applyBorder="1" applyAlignment="1">
      <alignment horizontal="left" vertical="center" wrapText="1"/>
    </xf>
    <xf numFmtId="165" fontId="15" fillId="0" borderId="6" xfId="1" applyNumberFormat="1" applyFont="1" applyBorder="1" applyAlignment="1">
      <alignment horizontal="center" vertical="center"/>
    </xf>
    <xf numFmtId="0" fontId="15" fillId="14" borderId="6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vertical="center"/>
    </xf>
    <xf numFmtId="0" fontId="18" fillId="14" borderId="1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left" vertical="center" wrapText="1"/>
    </xf>
    <xf numFmtId="165" fontId="15" fillId="14" borderId="1" xfId="1" applyNumberFormat="1" applyFont="1" applyFill="1" applyBorder="1" applyAlignment="1">
      <alignment horizontal="left" vertical="center"/>
    </xf>
    <xf numFmtId="165" fontId="15" fillId="14" borderId="1" xfId="1" applyNumberFormat="1" applyFont="1" applyFill="1" applyBorder="1" applyAlignment="1">
      <alignment horizontal="left" vertical="center" wrapText="1"/>
    </xf>
    <xf numFmtId="165" fontId="18" fillId="14" borderId="0" xfId="1" applyNumberFormat="1" applyFont="1" applyFill="1"/>
    <xf numFmtId="165" fontId="15" fillId="14" borderId="5" xfId="1" applyNumberFormat="1" applyFont="1" applyFill="1" applyBorder="1" applyAlignment="1">
      <alignment horizontal="left" vertical="center"/>
    </xf>
    <xf numFmtId="0" fontId="15" fillId="14" borderId="6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14" fillId="14" borderId="1" xfId="0" applyFont="1" applyFill="1" applyBorder="1" applyAlignment="1">
      <alignment horizontal="left" vertical="center" wrapText="1"/>
    </xf>
    <xf numFmtId="0" fontId="14" fillId="14" borderId="1" xfId="0" applyFont="1" applyFill="1" applyBorder="1" applyAlignment="1">
      <alignment horizontal="left" vertical="center"/>
    </xf>
    <xf numFmtId="0" fontId="15" fillId="14" borderId="1" xfId="0" applyFont="1" applyFill="1" applyBorder="1" applyAlignment="1">
      <alignment horizontal="left" wrapText="1"/>
    </xf>
    <xf numFmtId="0" fontId="14" fillId="14" borderId="1" xfId="0" applyFont="1" applyFill="1" applyBorder="1" applyAlignment="1">
      <alignment horizontal="center" vertical="center"/>
    </xf>
    <xf numFmtId="0" fontId="29" fillId="14" borderId="1" xfId="6" applyFont="1" applyFill="1" applyBorder="1" applyAlignment="1">
      <alignment horizontal="center" vertical="center"/>
    </xf>
    <xf numFmtId="0" fontId="14" fillId="14" borderId="1" xfId="0" applyFont="1" applyFill="1" applyBorder="1"/>
    <xf numFmtId="165" fontId="14" fillId="14" borderId="1" xfId="1" applyNumberFormat="1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left" vertical="center" wrapText="1"/>
    </xf>
    <xf numFmtId="165" fontId="0" fillId="0" borderId="0" xfId="0" applyNumberFormat="1"/>
    <xf numFmtId="0" fontId="15" fillId="5" borderId="6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wrapText="1"/>
    </xf>
    <xf numFmtId="165" fontId="16" fillId="2" borderId="6" xfId="1" applyNumberFormat="1" applyFont="1" applyFill="1" applyBorder="1" applyAlignment="1">
      <alignment vertical="center"/>
    </xf>
    <xf numFmtId="165" fontId="16" fillId="2" borderId="1" xfId="1" applyNumberFormat="1" applyFont="1" applyFill="1" applyBorder="1" applyAlignment="1">
      <alignment vertical="center"/>
    </xf>
    <xf numFmtId="165" fontId="15" fillId="5" borderId="1" xfId="1" applyNumberFormat="1" applyFont="1" applyFill="1" applyBorder="1" applyAlignment="1">
      <alignment horizontal="center"/>
    </xf>
    <xf numFmtId="165" fontId="15" fillId="5" borderId="1" xfId="1" applyNumberFormat="1" applyFont="1" applyFill="1" applyBorder="1" applyAlignment="1">
      <alignment horizontal="center" vertical="center"/>
    </xf>
    <xf numFmtId="165" fontId="15" fillId="4" borderId="5" xfId="1" applyNumberFormat="1" applyFont="1" applyFill="1" applyBorder="1" applyAlignment="1">
      <alignment horizontal="center"/>
    </xf>
    <xf numFmtId="165" fontId="16" fillId="7" borderId="1" xfId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3" fontId="15" fillId="0" borderId="0" xfId="0" applyNumberFormat="1" applyFont="1"/>
    <xf numFmtId="165" fontId="15" fillId="0" borderId="1" xfId="1" applyNumberFormat="1" applyFont="1" applyFill="1" applyBorder="1"/>
    <xf numFmtId="0" fontId="15" fillId="0" borderId="14" xfId="0" applyFont="1" applyBorder="1"/>
    <xf numFmtId="165" fontId="14" fillId="0" borderId="14" xfId="1" applyNumberFormat="1" applyFont="1" applyFill="1" applyBorder="1"/>
    <xf numFmtId="165" fontId="15" fillId="0" borderId="14" xfId="1" applyNumberFormat="1" applyFont="1" applyFill="1" applyBorder="1"/>
    <xf numFmtId="3" fontId="15" fillId="0" borderId="0" xfId="0" applyNumberFormat="1" applyFont="1" applyAlignment="1">
      <alignment vertical="center" wrapText="1"/>
    </xf>
    <xf numFmtId="3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vertical="top" wrapText="1"/>
    </xf>
    <xf numFmtId="0" fontId="15" fillId="0" borderId="5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3" fontId="15" fillId="0" borderId="5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/>
    </xf>
    <xf numFmtId="164" fontId="15" fillId="0" borderId="1" xfId="1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164" fontId="15" fillId="0" borderId="1" xfId="1" applyFont="1" applyFill="1" applyBorder="1" applyAlignment="1">
      <alignment horizontal="center" vertical="top" wrapText="1"/>
    </xf>
    <xf numFmtId="3" fontId="16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top"/>
    </xf>
    <xf numFmtId="3" fontId="18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5" xfId="0" applyFont="1" applyBorder="1" applyAlignment="1">
      <alignment horizontal="left" vertical="top"/>
    </xf>
    <xf numFmtId="3" fontId="15" fillId="0" borderId="5" xfId="0" applyNumberFormat="1" applyFont="1" applyBorder="1" applyAlignment="1">
      <alignment horizontal="center" vertical="top"/>
    </xf>
    <xf numFmtId="0" fontId="34" fillId="0" borderId="1" xfId="0" applyFont="1" applyBorder="1" applyAlignment="1">
      <alignment vertical="top" wrapText="1"/>
    </xf>
    <xf numFmtId="3" fontId="16" fillId="0" borderId="1" xfId="0" applyNumberFormat="1" applyFont="1" applyBorder="1" applyAlignment="1">
      <alignment vertical="top"/>
    </xf>
    <xf numFmtId="3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  <xf numFmtId="3" fontId="15" fillId="0" borderId="1" xfId="0" applyNumberFormat="1" applyFont="1" applyBorder="1" applyAlignment="1">
      <alignment horizontal="center"/>
    </xf>
    <xf numFmtId="0" fontId="17" fillId="0" borderId="4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3" fontId="15" fillId="0" borderId="4" xfId="0" applyNumberFormat="1" applyFont="1" applyBorder="1"/>
    <xf numFmtId="165" fontId="14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/>
    </xf>
    <xf numFmtId="165" fontId="15" fillId="0" borderId="0" xfId="0" applyNumberFormat="1" applyFont="1"/>
    <xf numFmtId="0" fontId="15" fillId="0" borderId="0" xfId="0" applyFont="1" applyAlignment="1">
      <alignment wrapText="1"/>
    </xf>
    <xf numFmtId="3" fontId="15" fillId="0" borderId="1" xfId="0" applyNumberFormat="1" applyFont="1" applyBorder="1" applyAlignment="1">
      <alignment horizontal="center" vertical="center" wrapText="1"/>
    </xf>
    <xf numFmtId="165" fontId="15" fillId="0" borderId="4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165" fontId="15" fillId="0" borderId="3" xfId="1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top" wrapText="1"/>
    </xf>
    <xf numFmtId="0" fontId="17" fillId="0" borderId="0" xfId="0" applyFont="1" applyAlignment="1">
      <alignment horizontal="left" vertical="center"/>
    </xf>
    <xf numFmtId="3" fontId="15" fillId="0" borderId="1" xfId="0" applyNumberFormat="1" applyFont="1" applyBorder="1" applyAlignment="1">
      <alignment horizontal="right" vertical="top"/>
    </xf>
    <xf numFmtId="3" fontId="18" fillId="0" borderId="1" xfId="0" applyNumberFormat="1" applyFont="1" applyBorder="1" applyAlignment="1">
      <alignment horizontal="right" vertical="top"/>
    </xf>
    <xf numFmtId="3" fontId="15" fillId="0" borderId="5" xfId="0" applyNumberFormat="1" applyFont="1" applyBorder="1" applyAlignment="1">
      <alignment horizontal="right" vertical="top"/>
    </xf>
    <xf numFmtId="167" fontId="15" fillId="0" borderId="1" xfId="0" applyNumberFormat="1" applyFont="1" applyBorder="1" applyAlignment="1">
      <alignment horizontal="right" vertical="top"/>
    </xf>
    <xf numFmtId="3" fontId="17" fillId="0" borderId="1" xfId="0" applyNumberFormat="1" applyFont="1" applyBorder="1" applyAlignment="1">
      <alignment vertical="center"/>
    </xf>
    <xf numFmtId="167" fontId="15" fillId="0" borderId="0" xfId="0" applyNumberFormat="1" applyFont="1"/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5" fontId="21" fillId="0" borderId="0" xfId="0" applyNumberFormat="1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4" borderId="0" xfId="0" applyFont="1" applyFill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26" fillId="4" borderId="1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/>
    </xf>
    <xf numFmtId="0" fontId="26" fillId="4" borderId="1" xfId="0" applyFont="1" applyFill="1" applyBorder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left" vertical="center" wrapText="1"/>
    </xf>
    <xf numFmtId="164" fontId="21" fillId="4" borderId="1" xfId="1" applyFont="1" applyFill="1" applyBorder="1" applyAlignment="1">
      <alignment horizontal="center" vertical="center"/>
    </xf>
    <xf numFmtId="164" fontId="21" fillId="4" borderId="1" xfId="1" applyFont="1" applyFill="1" applyBorder="1" applyAlignment="1">
      <alignment horizontal="right" vertical="center"/>
    </xf>
    <xf numFmtId="164" fontId="21" fillId="0" borderId="1" xfId="1" applyFont="1" applyBorder="1" applyAlignment="1">
      <alignment vertical="center"/>
    </xf>
    <xf numFmtId="164" fontId="21" fillId="0" borderId="1" xfId="1" applyFont="1" applyBorder="1" applyAlignment="1">
      <alignment horizontal="center" vertical="center"/>
    </xf>
    <xf numFmtId="164" fontId="22" fillId="15" borderId="1" xfId="1" applyFont="1" applyFill="1" applyBorder="1" applyAlignment="1">
      <alignment vertical="center"/>
    </xf>
    <xf numFmtId="164" fontId="22" fillId="10" borderId="1" xfId="1" applyFont="1" applyFill="1" applyBorder="1" applyAlignment="1">
      <alignment vertical="center"/>
    </xf>
    <xf numFmtId="43" fontId="16" fillId="0" borderId="1" xfId="0" applyNumberFormat="1" applyFont="1" applyBorder="1" applyAlignment="1">
      <alignment vertical="center"/>
    </xf>
    <xf numFmtId="0" fontId="22" fillId="15" borderId="1" xfId="0" applyFont="1" applyFill="1" applyBorder="1" applyAlignment="1">
      <alignment horizontal="left" vertical="center"/>
    </xf>
    <xf numFmtId="0" fontId="22" fillId="10" borderId="1" xfId="0" applyFont="1" applyFill="1" applyBorder="1" applyAlignment="1">
      <alignment horizontal="left" vertical="center"/>
    </xf>
    <xf numFmtId="0" fontId="16" fillId="13" borderId="4" xfId="0" applyFont="1" applyFill="1" applyBorder="1" applyAlignment="1">
      <alignment horizontal="left" vertical="center" wrapText="1"/>
    </xf>
    <xf numFmtId="164" fontId="16" fillId="13" borderId="1" xfId="1" applyFont="1" applyFill="1" applyBorder="1" applyAlignment="1">
      <alignment horizontal="right" vertical="center"/>
    </xf>
    <xf numFmtId="164" fontId="21" fillId="0" borderId="1" xfId="1" applyFont="1" applyBorder="1" applyAlignment="1">
      <alignment horizontal="center" vertical="center" wrapText="1"/>
    </xf>
    <xf numFmtId="164" fontId="21" fillId="0" borderId="4" xfId="1" applyFont="1" applyBorder="1" applyAlignment="1">
      <alignment horizontal="center" vertical="center"/>
    </xf>
    <xf numFmtId="0" fontId="16" fillId="7" borderId="2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5" fontId="15" fillId="4" borderId="5" xfId="1" applyNumberFormat="1" applyFont="1" applyFill="1" applyBorder="1" applyAlignment="1">
      <alignment horizontal="center" vertical="center" wrapText="1"/>
    </xf>
    <xf numFmtId="165" fontId="15" fillId="4" borderId="6" xfId="1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165" fontId="15" fillId="0" borderId="5" xfId="1" applyNumberFormat="1" applyFont="1" applyBorder="1" applyAlignment="1">
      <alignment horizontal="center" vertical="center"/>
    </xf>
    <xf numFmtId="165" fontId="15" fillId="0" borderId="7" xfId="1" applyNumberFormat="1" applyFont="1" applyBorder="1" applyAlignment="1">
      <alignment horizontal="center" vertical="center"/>
    </xf>
    <xf numFmtId="165" fontId="15" fillId="0" borderId="6" xfId="1" applyNumberFormat="1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165" fontId="15" fillId="0" borderId="5" xfId="1" applyNumberFormat="1" applyFont="1" applyBorder="1" applyAlignment="1">
      <alignment horizontal="center" vertical="center" wrapText="1"/>
    </xf>
    <xf numFmtId="165" fontId="15" fillId="0" borderId="7" xfId="1" applyNumberFormat="1" applyFont="1" applyBorder="1" applyAlignment="1">
      <alignment horizontal="center" vertical="center" wrapText="1"/>
    </xf>
    <xf numFmtId="165" fontId="15" fillId="0" borderId="6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165" fontId="15" fillId="4" borderId="7" xfId="1" applyNumberFormat="1" applyFont="1" applyFill="1" applyBorder="1" applyAlignment="1">
      <alignment horizontal="center" vertical="center" wrapText="1"/>
    </xf>
    <xf numFmtId="165" fontId="15" fillId="4" borderId="1" xfId="1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4" fillId="4" borderId="5" xfId="1" applyNumberFormat="1" applyFont="1" applyFill="1" applyBorder="1" applyAlignment="1">
      <alignment horizontal="center" vertical="center"/>
    </xf>
    <xf numFmtId="165" fontId="14" fillId="4" borderId="6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165" fontId="15" fillId="4" borderId="5" xfId="1" applyNumberFormat="1" applyFont="1" applyFill="1" applyBorder="1" applyAlignment="1">
      <alignment horizontal="center" vertical="center"/>
    </xf>
    <xf numFmtId="165" fontId="15" fillId="4" borderId="7" xfId="1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65" fontId="15" fillId="4" borderId="6" xfId="1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165" fontId="15" fillId="0" borderId="1" xfId="1" applyNumberFormat="1" applyFont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165" fontId="14" fillId="0" borderId="5" xfId="1" applyNumberFormat="1" applyFont="1" applyBorder="1" applyAlignment="1">
      <alignment horizontal="left" vertical="center" wrapText="1"/>
    </xf>
    <xf numFmtId="165" fontId="14" fillId="0" borderId="7" xfId="1" applyNumberFormat="1" applyFont="1" applyBorder="1" applyAlignment="1">
      <alignment horizontal="left" vertical="center" wrapText="1"/>
    </xf>
    <xf numFmtId="165" fontId="14" fillId="0" borderId="6" xfId="1" applyNumberFormat="1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4" fillId="0" borderId="5" xfId="0" applyFont="1" applyBorder="1" applyAlignment="1">
      <alignment horizontal="center" vertical="top" wrapText="1"/>
    </xf>
    <xf numFmtId="0" fontId="34" fillId="0" borderId="7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3" fontId="15" fillId="0" borderId="5" xfId="0" applyNumberFormat="1" applyFont="1" applyBorder="1" applyAlignment="1">
      <alignment horizontal="center" vertical="top"/>
    </xf>
    <xf numFmtId="3" fontId="15" fillId="0" borderId="7" xfId="0" applyNumberFormat="1" applyFont="1" applyBorder="1" applyAlignment="1">
      <alignment horizontal="center" vertical="top"/>
    </xf>
    <xf numFmtId="3" fontId="15" fillId="0" borderId="6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3" fontId="15" fillId="0" borderId="5" xfId="7" applyNumberFormat="1" applyFont="1" applyFill="1" applyBorder="1" applyAlignment="1">
      <alignment horizontal="center" vertical="top"/>
    </xf>
    <xf numFmtId="3" fontId="15" fillId="0" borderId="7" xfId="7" applyNumberFormat="1" applyFont="1" applyFill="1" applyBorder="1" applyAlignment="1">
      <alignment horizontal="center" vertical="top"/>
    </xf>
    <xf numFmtId="3" fontId="15" fillId="0" borderId="6" xfId="7" applyNumberFormat="1" applyFont="1" applyFill="1" applyBorder="1" applyAlignment="1">
      <alignment horizontal="center" vertical="top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3" fontId="15" fillId="0" borderId="8" xfId="0" applyNumberFormat="1" applyFont="1" applyBorder="1" applyAlignment="1">
      <alignment horizontal="center" vertical="top" wrapText="1"/>
    </xf>
    <xf numFmtId="3" fontId="15" fillId="0" borderId="9" xfId="0" applyNumberFormat="1" applyFont="1" applyBorder="1" applyAlignment="1">
      <alignment horizontal="center" vertical="top" wrapText="1"/>
    </xf>
    <xf numFmtId="3" fontId="15" fillId="0" borderId="10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5" fillId="0" borderId="7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top" wrapText="1"/>
    </xf>
    <xf numFmtId="3" fontId="15" fillId="0" borderId="7" xfId="0" applyNumberFormat="1" applyFont="1" applyBorder="1" applyAlignment="1">
      <alignment horizontal="center" vertical="top" wrapText="1"/>
    </xf>
    <xf numFmtId="3" fontId="15" fillId="0" borderId="6" xfId="0" applyNumberFormat="1" applyFont="1" applyBorder="1" applyAlignment="1">
      <alignment horizontal="center" vertical="top" wrapText="1"/>
    </xf>
    <xf numFmtId="3" fontId="15" fillId="0" borderId="2" xfId="0" applyNumberFormat="1" applyFont="1" applyBorder="1" applyAlignment="1">
      <alignment horizontal="center" vertical="top" wrapText="1"/>
    </xf>
    <xf numFmtId="3" fontId="15" fillId="0" borderId="3" xfId="0" applyNumberFormat="1" applyFont="1" applyBorder="1" applyAlignment="1">
      <alignment horizontal="center" vertical="top" wrapText="1"/>
    </xf>
    <xf numFmtId="3" fontId="15" fillId="0" borderId="4" xfId="0" applyNumberFormat="1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left" vertical="center"/>
    </xf>
    <xf numFmtId="0" fontId="22" fillId="15" borderId="2" xfId="0" applyFont="1" applyFill="1" applyBorder="1" applyAlignment="1">
      <alignment horizontal="center" vertical="center"/>
    </xf>
    <xf numFmtId="0" fontId="22" fillId="15" borderId="3" xfId="0" applyFont="1" applyFill="1" applyBorder="1" applyAlignment="1">
      <alignment horizontal="center" vertical="center"/>
    </xf>
    <xf numFmtId="0" fontId="22" fillId="15" borderId="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6" fillId="13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left" vertical="center"/>
    </xf>
    <xf numFmtId="0" fontId="16" fillId="13" borderId="2" xfId="0" applyFont="1" applyFill="1" applyBorder="1" applyAlignment="1">
      <alignment horizontal="left" vertical="center" wrapText="1"/>
    </xf>
    <xf numFmtId="0" fontId="16" fillId="13" borderId="3" xfId="0" applyFont="1" applyFill="1" applyBorder="1" applyAlignment="1">
      <alignment horizontal="left" vertical="center" wrapText="1"/>
    </xf>
    <xf numFmtId="0" fontId="16" fillId="13" borderId="4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15" fillId="0" borderId="4" xfId="1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3" fontId="15" fillId="0" borderId="4" xfId="0" applyNumberFormat="1" applyFont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167" fontId="15" fillId="0" borderId="5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5" fillId="5" borderId="5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vertical="center" wrapText="1"/>
    </xf>
    <xf numFmtId="0" fontId="18" fillId="9" borderId="26" xfId="0" applyFont="1" applyFill="1" applyBorder="1" applyAlignment="1">
      <alignment vertical="center" wrapText="1"/>
    </xf>
    <xf numFmtId="0" fontId="18" fillId="9" borderId="16" xfId="0" applyFont="1" applyFill="1" applyBorder="1" applyAlignment="1">
      <alignment vertical="center" wrapText="1"/>
    </xf>
    <xf numFmtId="0" fontId="31" fillId="9" borderId="25" xfId="0" applyFont="1" applyFill="1" applyBorder="1" applyAlignment="1">
      <alignment vertical="center" wrapText="1"/>
    </xf>
    <xf numFmtId="0" fontId="31" fillId="9" borderId="26" xfId="0" applyFont="1" applyFill="1" applyBorder="1" applyAlignment="1">
      <alignment vertical="center" wrapText="1"/>
    </xf>
    <xf numFmtId="0" fontId="31" fillId="9" borderId="16" xfId="0" applyFont="1" applyFill="1" applyBorder="1" applyAlignment="1">
      <alignment vertical="center" wrapText="1"/>
    </xf>
    <xf numFmtId="0" fontId="30" fillId="9" borderId="27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3" fontId="18" fillId="9" borderId="27" xfId="0" applyNumberFormat="1" applyFont="1" applyFill="1" applyBorder="1" applyAlignment="1">
      <alignment horizontal="center" vertical="center" wrapText="1"/>
    </xf>
    <xf numFmtId="3" fontId="18" fillId="9" borderId="17" xfId="0" applyNumberFormat="1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2" fillId="9" borderId="24" xfId="0" applyFont="1" applyFill="1" applyBorder="1" applyAlignment="1">
      <alignment horizontal="center" vertical="center" wrapText="1"/>
    </xf>
    <xf numFmtId="0" fontId="30" fillId="9" borderId="18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30" fillId="9" borderId="20" xfId="0" applyFont="1" applyFill="1" applyBorder="1" applyAlignment="1">
      <alignment horizontal="center" vertical="center" wrapText="1"/>
    </xf>
    <xf numFmtId="0" fontId="31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1" fillId="9" borderId="24" xfId="0" applyFont="1" applyFill="1" applyBorder="1" applyAlignment="1">
      <alignment horizontal="center" vertical="center" wrapText="1"/>
    </xf>
  </cellXfs>
  <cellStyles count="220">
    <cellStyle name="Гиперссылка" xfId="6" builtinId="8"/>
    <cellStyle name="Денежный" xfId="7" builtinId="4"/>
    <cellStyle name="Денежный 2" xfId="18"/>
    <cellStyle name="Денежный 2 2" xfId="36"/>
    <cellStyle name="Денежный 2 2 2" xfId="89"/>
    <cellStyle name="Денежный 2 2 2 2" xfId="196"/>
    <cellStyle name="Денежный 2 2 3" xfId="143"/>
    <cellStyle name="Денежный 2 3" xfId="53"/>
    <cellStyle name="Денежный 2 3 2" xfId="106"/>
    <cellStyle name="Денежный 2 3 2 2" xfId="213"/>
    <cellStyle name="Денежный 2 3 3" xfId="160"/>
    <cellStyle name="Денежный 2 4" xfId="72"/>
    <cellStyle name="Денежный 2 4 2" xfId="179"/>
    <cellStyle name="Денежный 2 5" xfId="126"/>
    <cellStyle name="Денежный 3" xfId="27"/>
    <cellStyle name="Денежный 3 2" xfId="80"/>
    <cellStyle name="Денежный 3 2 2" xfId="187"/>
    <cellStyle name="Денежный 3 3" xfId="134"/>
    <cellStyle name="Денежный 4" xfId="44"/>
    <cellStyle name="Денежный 4 2" xfId="97"/>
    <cellStyle name="Денежный 4 2 2" xfId="204"/>
    <cellStyle name="Денежный 4 3" xfId="151"/>
    <cellStyle name="Денежный 5" xfId="63"/>
    <cellStyle name="Денежный 5 2" xfId="170"/>
    <cellStyle name="Денежный 6" xfId="117"/>
    <cellStyle name="Обычный" xfId="0" builtinId="0"/>
    <cellStyle name="Обычный 2" xfId="11"/>
    <cellStyle name="Обычный 2 2" xfId="13"/>
    <cellStyle name="Обычный 2 3" xfId="21"/>
    <cellStyle name="Обычный 2 3 2" xfId="39"/>
    <cellStyle name="Обычный 2 3 2 2" xfId="92"/>
    <cellStyle name="Обычный 2 3 2 2 2" xfId="199"/>
    <cellStyle name="Обычный 2 3 2 3" xfId="146"/>
    <cellStyle name="Обычный 2 3 3" xfId="56"/>
    <cellStyle name="Обычный 2 3 3 2" xfId="109"/>
    <cellStyle name="Обычный 2 3 3 2 2" xfId="216"/>
    <cellStyle name="Обычный 2 3 3 3" xfId="163"/>
    <cellStyle name="Обычный 2 3 4" xfId="75"/>
    <cellStyle name="Обычный 2 3 4 2" xfId="182"/>
    <cellStyle name="Обычный 2 3 5" xfId="129"/>
    <cellStyle name="Обычный 2 4" xfId="30"/>
    <cellStyle name="Обычный 2 4 2" xfId="83"/>
    <cellStyle name="Обычный 2 4 2 2" xfId="190"/>
    <cellStyle name="Обычный 2 4 3" xfId="137"/>
    <cellStyle name="Обычный 2 5" xfId="47"/>
    <cellStyle name="Обычный 2 5 2" xfId="100"/>
    <cellStyle name="Обычный 2 5 2 2" xfId="207"/>
    <cellStyle name="Обычный 2 5 3" xfId="154"/>
    <cellStyle name="Обычный 2 6" xfId="66"/>
    <cellStyle name="Обычный 2 6 2" xfId="173"/>
    <cellStyle name="Обычный 2 7" xfId="120"/>
    <cellStyle name="Обычный 3" xfId="2"/>
    <cellStyle name="Обычный 3 10" xfId="112"/>
    <cellStyle name="Обычный 3 10 2" xfId="219"/>
    <cellStyle name="Обычный 3 2" xfId="5"/>
    <cellStyle name="Обычный 3 2 2" xfId="10"/>
    <cellStyle name="Обычный 3 2 2 2" xfId="20"/>
    <cellStyle name="Обычный 3 2 2 2 2" xfId="38"/>
    <cellStyle name="Обычный 3 2 2 2 2 2" xfId="91"/>
    <cellStyle name="Обычный 3 2 2 2 2 2 2" xfId="198"/>
    <cellStyle name="Обычный 3 2 2 2 2 3" xfId="145"/>
    <cellStyle name="Обычный 3 2 2 2 3" xfId="55"/>
    <cellStyle name="Обычный 3 2 2 2 3 2" xfId="108"/>
    <cellStyle name="Обычный 3 2 2 2 3 2 2" xfId="215"/>
    <cellStyle name="Обычный 3 2 2 2 3 3" xfId="162"/>
    <cellStyle name="Обычный 3 2 2 2 4" xfId="74"/>
    <cellStyle name="Обычный 3 2 2 2 4 2" xfId="181"/>
    <cellStyle name="Обычный 3 2 2 2 5" xfId="128"/>
    <cellStyle name="Обычный 3 2 2 3" xfId="29"/>
    <cellStyle name="Обычный 3 2 2 3 2" xfId="82"/>
    <cellStyle name="Обычный 3 2 2 3 2 2" xfId="189"/>
    <cellStyle name="Обычный 3 2 2 3 3" xfId="136"/>
    <cellStyle name="Обычный 3 2 2 4" xfId="46"/>
    <cellStyle name="Обычный 3 2 2 4 2" xfId="99"/>
    <cellStyle name="Обычный 3 2 2 4 2 2" xfId="206"/>
    <cellStyle name="Обычный 3 2 2 4 3" xfId="153"/>
    <cellStyle name="Обычный 3 2 2 5" xfId="65"/>
    <cellStyle name="Обычный 3 2 2 5 2" xfId="172"/>
    <cellStyle name="Обычный 3 2 2 6" xfId="119"/>
    <cellStyle name="Обычный 3 2 3" xfId="17"/>
    <cellStyle name="Обычный 3 2 3 2" xfId="35"/>
    <cellStyle name="Обычный 3 2 3 2 2" xfId="88"/>
    <cellStyle name="Обычный 3 2 3 2 2 2" xfId="195"/>
    <cellStyle name="Обычный 3 2 3 2 3" xfId="142"/>
    <cellStyle name="Обычный 3 2 3 3" xfId="52"/>
    <cellStyle name="Обычный 3 2 3 3 2" xfId="105"/>
    <cellStyle name="Обычный 3 2 3 3 2 2" xfId="212"/>
    <cellStyle name="Обычный 3 2 3 3 3" xfId="159"/>
    <cellStyle name="Обычный 3 2 3 4" xfId="71"/>
    <cellStyle name="Обычный 3 2 3 4 2" xfId="178"/>
    <cellStyle name="Обычный 3 2 3 5" xfId="125"/>
    <cellStyle name="Обычный 3 2 4" xfId="26"/>
    <cellStyle name="Обычный 3 2 4 2" xfId="79"/>
    <cellStyle name="Обычный 3 2 4 2 2" xfId="186"/>
    <cellStyle name="Обычный 3 2 4 3" xfId="133"/>
    <cellStyle name="Обычный 3 2 5" xfId="43"/>
    <cellStyle name="Обычный 3 2 5 2" xfId="96"/>
    <cellStyle name="Обычный 3 2 5 2 2" xfId="203"/>
    <cellStyle name="Обычный 3 2 5 3" xfId="150"/>
    <cellStyle name="Обычный 3 2 6" xfId="62"/>
    <cellStyle name="Обычный 3 2 6 2" xfId="169"/>
    <cellStyle name="Обычный 3 2 7" xfId="116"/>
    <cellStyle name="Обычный 3 3" xfId="8"/>
    <cellStyle name="Обычный 3 3 2" xfId="19"/>
    <cellStyle name="Обычный 3 3 2 2" xfId="37"/>
    <cellStyle name="Обычный 3 3 2 2 2" xfId="90"/>
    <cellStyle name="Обычный 3 3 2 2 2 2" xfId="197"/>
    <cellStyle name="Обычный 3 3 2 2 3" xfId="144"/>
    <cellStyle name="Обычный 3 3 2 3" xfId="54"/>
    <cellStyle name="Обычный 3 3 2 3 2" xfId="107"/>
    <cellStyle name="Обычный 3 3 2 3 2 2" xfId="214"/>
    <cellStyle name="Обычный 3 3 2 3 3" xfId="161"/>
    <cellStyle name="Обычный 3 3 2 4" xfId="73"/>
    <cellStyle name="Обычный 3 3 2 4 2" xfId="180"/>
    <cellStyle name="Обычный 3 3 2 5" xfId="127"/>
    <cellStyle name="Обычный 3 3 3" xfId="28"/>
    <cellStyle name="Обычный 3 3 3 2" xfId="81"/>
    <cellStyle name="Обычный 3 3 3 2 2" xfId="188"/>
    <cellStyle name="Обычный 3 3 3 3" xfId="135"/>
    <cellStyle name="Обычный 3 3 4" xfId="45"/>
    <cellStyle name="Обычный 3 3 4 2" xfId="98"/>
    <cellStyle name="Обычный 3 3 4 2 2" xfId="205"/>
    <cellStyle name="Обычный 3 3 4 3" xfId="152"/>
    <cellStyle name="Обычный 3 3 5" xfId="64"/>
    <cellStyle name="Обычный 3 3 5 2" xfId="171"/>
    <cellStyle name="Обычный 3 3 6" xfId="118"/>
    <cellStyle name="Обычный 3 4" xfId="15"/>
    <cellStyle name="Обычный 3 4 2" xfId="33"/>
    <cellStyle name="Обычный 3 4 2 2" xfId="86"/>
    <cellStyle name="Обычный 3 4 2 2 2" xfId="193"/>
    <cellStyle name="Обычный 3 4 2 3" xfId="140"/>
    <cellStyle name="Обычный 3 4 3" xfId="50"/>
    <cellStyle name="Обычный 3 4 3 2" xfId="103"/>
    <cellStyle name="Обычный 3 4 3 2 2" xfId="210"/>
    <cellStyle name="Обычный 3 4 3 3" xfId="157"/>
    <cellStyle name="Обычный 3 4 4" xfId="69"/>
    <cellStyle name="Обычный 3 4 4 2" xfId="176"/>
    <cellStyle name="Обычный 3 4 5" xfId="123"/>
    <cellStyle name="Обычный 3 5" xfId="24"/>
    <cellStyle name="Обычный 3 5 2" xfId="77"/>
    <cellStyle name="Обычный 3 5 2 2" xfId="184"/>
    <cellStyle name="Обычный 3 5 3" xfId="131"/>
    <cellStyle name="Обычный 3 6" xfId="41"/>
    <cellStyle name="Обычный 3 6 2" xfId="94"/>
    <cellStyle name="Обычный 3 6 2 2" xfId="201"/>
    <cellStyle name="Обычный 3 6 3" xfId="148"/>
    <cellStyle name="Обычный 3 7" xfId="60"/>
    <cellStyle name="Обычный 3 7 2" xfId="167"/>
    <cellStyle name="Обычный 3 8" xfId="114"/>
    <cellStyle name="Обычный 4" xfId="12"/>
    <cellStyle name="Обычный 4 2" xfId="31"/>
    <cellStyle name="Обычный 4 2 2" xfId="84"/>
    <cellStyle name="Обычный 4 2 2 2" xfId="191"/>
    <cellStyle name="Обычный 4 2 3" xfId="138"/>
    <cellStyle name="Обычный 4 3" xfId="48"/>
    <cellStyle name="Обычный 4 3 2" xfId="101"/>
    <cellStyle name="Обычный 4 3 2 2" xfId="208"/>
    <cellStyle name="Обычный 4 3 3" xfId="155"/>
    <cellStyle name="Обычный 4 4" xfId="67"/>
    <cellStyle name="Обычный 4 4 2" xfId="174"/>
    <cellStyle name="Обычный 4 5" xfId="121"/>
    <cellStyle name="Обычный 5" xfId="22"/>
    <cellStyle name="Обычный 6" xfId="57"/>
    <cellStyle name="Обычный 6 2" xfId="110"/>
    <cellStyle name="Обычный 6 2 2" xfId="217"/>
    <cellStyle name="Обычный 6 3" xfId="164"/>
    <cellStyle name="Финансовый" xfId="1" builtinId="3"/>
    <cellStyle name="Финансовый 2" xfId="3"/>
    <cellStyle name="Финансовый 2 2" xfId="9"/>
    <cellStyle name="Финансовый 3" xfId="4"/>
    <cellStyle name="Финансовый 3 2" xfId="16"/>
    <cellStyle name="Финансовый 3 2 2" xfId="34"/>
    <cellStyle name="Финансовый 3 2 2 2" xfId="87"/>
    <cellStyle name="Финансовый 3 2 2 2 2" xfId="194"/>
    <cellStyle name="Финансовый 3 2 2 3" xfId="141"/>
    <cellStyle name="Финансовый 3 2 3" xfId="51"/>
    <cellStyle name="Финансовый 3 2 3 2" xfId="104"/>
    <cellStyle name="Финансовый 3 2 3 2 2" xfId="211"/>
    <cellStyle name="Финансовый 3 2 3 3" xfId="158"/>
    <cellStyle name="Финансовый 3 2 4" xfId="70"/>
    <cellStyle name="Финансовый 3 2 4 2" xfId="177"/>
    <cellStyle name="Финансовый 3 2 5" xfId="124"/>
    <cellStyle name="Финансовый 3 3" xfId="25"/>
    <cellStyle name="Финансовый 3 3 2" xfId="78"/>
    <cellStyle name="Финансовый 3 3 2 2" xfId="185"/>
    <cellStyle name="Финансовый 3 3 3" xfId="132"/>
    <cellStyle name="Финансовый 3 4" xfId="42"/>
    <cellStyle name="Финансовый 3 4 2" xfId="95"/>
    <cellStyle name="Финансовый 3 4 2 2" xfId="202"/>
    <cellStyle name="Финансовый 3 4 3" xfId="149"/>
    <cellStyle name="Финансовый 3 5" xfId="61"/>
    <cellStyle name="Финансовый 3 5 2" xfId="168"/>
    <cellStyle name="Финансовый 3 6" xfId="115"/>
    <cellStyle name="Финансовый 4" xfId="14"/>
    <cellStyle name="Финансовый 4 2" xfId="32"/>
    <cellStyle name="Финансовый 4 2 2" xfId="85"/>
    <cellStyle name="Финансовый 4 2 2 2" xfId="192"/>
    <cellStyle name="Финансовый 4 2 3" xfId="139"/>
    <cellStyle name="Финансовый 4 3" xfId="49"/>
    <cellStyle name="Финансовый 4 3 2" xfId="102"/>
    <cellStyle name="Финансовый 4 3 2 2" xfId="209"/>
    <cellStyle name="Финансовый 4 3 3" xfId="156"/>
    <cellStyle name="Финансовый 4 4" xfId="68"/>
    <cellStyle name="Финансовый 4 4 2" xfId="175"/>
    <cellStyle name="Финансовый 4 5" xfId="122"/>
    <cellStyle name="Финансовый 5" xfId="23"/>
    <cellStyle name="Финансовый 5 2" xfId="76"/>
    <cellStyle name="Финансовый 5 2 2" xfId="183"/>
    <cellStyle name="Финансовый 5 3" xfId="130"/>
    <cellStyle name="Финансовый 6" xfId="40"/>
    <cellStyle name="Финансовый 6 2" xfId="93"/>
    <cellStyle name="Финансовый 6 2 2" xfId="200"/>
    <cellStyle name="Финансовый 6 3" xfId="147"/>
    <cellStyle name="Финансовый 7" xfId="58"/>
    <cellStyle name="Финансовый 7 2" xfId="111"/>
    <cellStyle name="Финансовый 7 2 2" xfId="218"/>
    <cellStyle name="Финансовый 7 3" xfId="165"/>
    <cellStyle name="Финансовый 8" xfId="59"/>
    <cellStyle name="Финансовый 8 2" xfId="166"/>
    <cellStyle name="Финансовый 9" xfId="1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ektroteni.ru/catalog/nagrevatelnye_elementy/lentochnye_nagrevateli/lenta_engl_2m/lenta_engl_2m_0_13_220_5_2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817"/>
  <sheetViews>
    <sheetView zoomScale="62" zoomScaleNormal="62" workbookViewId="0">
      <pane xSplit="1" ySplit="4" topLeftCell="B454" activePane="bottomRight" state="frozen"/>
      <selection pane="topRight" activeCell="B1" sqref="B1"/>
      <selection pane="bottomLeft" activeCell="A5" sqref="A5"/>
      <selection pane="bottomRight" activeCell="E8" sqref="E8"/>
    </sheetView>
  </sheetViews>
  <sheetFormatPr defaultRowHeight="15" x14ac:dyDescent="0.25"/>
  <cols>
    <col min="2" max="2" width="8.5703125" customWidth="1"/>
    <col min="3" max="3" width="35.85546875" customWidth="1"/>
    <col min="4" max="4" width="20.5703125" customWidth="1"/>
    <col min="5" max="5" width="24.28515625" customWidth="1"/>
    <col min="6" max="6" width="46.7109375" style="89" customWidth="1"/>
    <col min="7" max="7" width="28.42578125" customWidth="1"/>
    <col min="8" max="8" width="9.85546875" customWidth="1"/>
    <col min="9" max="9" width="10.42578125" customWidth="1"/>
    <col min="10" max="10" width="14.85546875" customWidth="1"/>
    <col min="11" max="11" width="17.5703125" customWidth="1"/>
    <col min="12" max="12" width="20.140625" customWidth="1"/>
    <col min="13" max="13" width="22.140625" customWidth="1"/>
    <col min="14" max="14" width="25.28515625" customWidth="1"/>
    <col min="17" max="18" width="11.85546875" bestFit="1" customWidth="1"/>
    <col min="20" max="20" width="11.85546875" bestFit="1" customWidth="1"/>
  </cols>
  <sheetData>
    <row r="1" spans="2:14" ht="28.5" customHeight="1" x14ac:dyDescent="0.25">
      <c r="B1" s="434" t="s">
        <v>10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3" spans="2:14" ht="36" customHeight="1" x14ac:dyDescent="0.25">
      <c r="B3" s="439" t="s">
        <v>0</v>
      </c>
      <c r="C3" s="437" t="s">
        <v>7</v>
      </c>
      <c r="D3" s="439" t="s">
        <v>12</v>
      </c>
      <c r="E3" s="439" t="s">
        <v>11</v>
      </c>
      <c r="F3" s="444" t="s">
        <v>8</v>
      </c>
      <c r="G3" s="437" t="s">
        <v>9</v>
      </c>
      <c r="H3" s="439" t="s">
        <v>1</v>
      </c>
      <c r="I3" s="439" t="s">
        <v>2</v>
      </c>
      <c r="J3" s="439" t="s">
        <v>3</v>
      </c>
      <c r="K3" s="437" t="s">
        <v>6</v>
      </c>
      <c r="L3" s="437" t="s">
        <v>19</v>
      </c>
      <c r="M3" s="439" t="s">
        <v>5</v>
      </c>
      <c r="N3" s="439" t="s">
        <v>4</v>
      </c>
    </row>
    <row r="4" spans="2:14" ht="32.25" customHeight="1" x14ac:dyDescent="0.25">
      <c r="B4" s="439"/>
      <c r="C4" s="438"/>
      <c r="D4" s="439"/>
      <c r="E4" s="439"/>
      <c r="F4" s="444"/>
      <c r="G4" s="438"/>
      <c r="H4" s="439"/>
      <c r="I4" s="439"/>
      <c r="J4" s="439"/>
      <c r="K4" s="438"/>
      <c r="L4" s="438"/>
      <c r="M4" s="439"/>
      <c r="N4" s="439"/>
    </row>
    <row r="5" spans="2:14" ht="16.5" x14ac:dyDescent="0.25">
      <c r="B5" s="1">
        <v>1</v>
      </c>
      <c r="C5" s="1">
        <v>2</v>
      </c>
      <c r="D5" s="1">
        <v>3</v>
      </c>
      <c r="E5" s="1">
        <v>4</v>
      </c>
      <c r="F5" s="86">
        <v>5</v>
      </c>
      <c r="G5" s="1">
        <v>6</v>
      </c>
      <c r="H5" s="1">
        <v>7</v>
      </c>
      <c r="I5" s="1">
        <v>8</v>
      </c>
      <c r="J5" s="1">
        <v>12</v>
      </c>
      <c r="K5" s="1">
        <v>13</v>
      </c>
      <c r="L5" s="1">
        <v>19</v>
      </c>
      <c r="M5" s="1">
        <v>20</v>
      </c>
      <c r="N5" s="1">
        <v>21</v>
      </c>
    </row>
    <row r="6" spans="2:14" ht="18.600000000000001" customHeight="1" x14ac:dyDescent="0.25">
      <c r="B6" s="435" t="s">
        <v>47</v>
      </c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</row>
    <row r="7" spans="2:14" ht="18.75" x14ac:dyDescent="0.25">
      <c r="B7" s="436" t="s">
        <v>13</v>
      </c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</row>
    <row r="8" spans="2:14" ht="123" customHeight="1" x14ac:dyDescent="0.25">
      <c r="B8" s="360">
        <v>1</v>
      </c>
      <c r="C8" s="360" t="s">
        <v>24</v>
      </c>
      <c r="D8" s="360" t="s">
        <v>25</v>
      </c>
      <c r="E8" s="2" t="s">
        <v>1037</v>
      </c>
      <c r="F8" s="87" t="s">
        <v>37</v>
      </c>
      <c r="G8" s="6"/>
      <c r="H8" s="6"/>
      <c r="I8" s="6"/>
      <c r="J8" s="6"/>
      <c r="K8" s="6"/>
      <c r="L8" s="15" t="s">
        <v>26</v>
      </c>
      <c r="M8" s="69">
        <v>3758586</v>
      </c>
      <c r="N8" s="26" t="s">
        <v>1038</v>
      </c>
    </row>
    <row r="9" spans="2:14" ht="37.5" customHeight="1" x14ac:dyDescent="0.25">
      <c r="B9" s="361"/>
      <c r="C9" s="361"/>
      <c r="D9" s="361"/>
      <c r="E9" s="352" t="s">
        <v>27</v>
      </c>
      <c r="F9" s="88" t="s">
        <v>30</v>
      </c>
      <c r="G9" s="26" t="s">
        <v>28</v>
      </c>
      <c r="H9" s="15" t="s">
        <v>23</v>
      </c>
      <c r="I9" s="15">
        <v>1</v>
      </c>
      <c r="J9" s="10">
        <v>84500</v>
      </c>
      <c r="K9" s="10">
        <f t="shared" ref="K9:K25" si="0">J9*I9</f>
        <v>84500</v>
      </c>
      <c r="L9" s="360" t="s">
        <v>29</v>
      </c>
      <c r="M9" s="398">
        <f>K9+K10+K11+K12</f>
        <v>208988</v>
      </c>
      <c r="N9" s="369"/>
    </row>
    <row r="10" spans="2:14" ht="35.25" customHeight="1" x14ac:dyDescent="0.25">
      <c r="B10" s="361"/>
      <c r="C10" s="361"/>
      <c r="D10" s="361"/>
      <c r="E10" s="353"/>
      <c r="F10" s="88" t="s">
        <v>31</v>
      </c>
      <c r="G10" s="26" t="s">
        <v>28</v>
      </c>
      <c r="H10" s="15" t="s">
        <v>23</v>
      </c>
      <c r="I10" s="15">
        <v>1</v>
      </c>
      <c r="J10" s="10">
        <v>52416</v>
      </c>
      <c r="K10" s="10">
        <f t="shared" si="0"/>
        <v>52416</v>
      </c>
      <c r="L10" s="361"/>
      <c r="M10" s="399"/>
      <c r="N10" s="370"/>
    </row>
    <row r="11" spans="2:14" ht="33.75" customHeight="1" x14ac:dyDescent="0.25">
      <c r="B11" s="361"/>
      <c r="C11" s="361"/>
      <c r="D11" s="361"/>
      <c r="E11" s="353"/>
      <c r="F11" s="88" t="s">
        <v>32</v>
      </c>
      <c r="G11" s="25" t="s">
        <v>33</v>
      </c>
      <c r="H11" s="15" t="s">
        <v>23</v>
      </c>
      <c r="I11" s="15">
        <v>6</v>
      </c>
      <c r="J11" s="10">
        <v>8632</v>
      </c>
      <c r="K11" s="10">
        <f t="shared" si="0"/>
        <v>51792</v>
      </c>
      <c r="L11" s="361"/>
      <c r="M11" s="399"/>
      <c r="N11" s="370"/>
    </row>
    <row r="12" spans="2:14" ht="35.25" customHeight="1" x14ac:dyDescent="0.25">
      <c r="B12" s="362"/>
      <c r="C12" s="362"/>
      <c r="D12" s="362"/>
      <c r="E12" s="354"/>
      <c r="F12" s="88" t="s">
        <v>35</v>
      </c>
      <c r="G12" s="24" t="s">
        <v>36</v>
      </c>
      <c r="H12" s="15" t="s">
        <v>23</v>
      </c>
      <c r="I12" s="15">
        <v>3</v>
      </c>
      <c r="J12" s="10">
        <v>6760</v>
      </c>
      <c r="K12" s="10">
        <f t="shared" si="0"/>
        <v>20280</v>
      </c>
      <c r="L12" s="362"/>
      <c r="M12" s="400"/>
      <c r="N12" s="371"/>
    </row>
    <row r="13" spans="2:14" ht="105" customHeight="1" x14ac:dyDescent="0.25">
      <c r="B13" s="360">
        <v>2</v>
      </c>
      <c r="C13" s="360" t="s">
        <v>38</v>
      </c>
      <c r="D13" s="360" t="s">
        <v>39</v>
      </c>
      <c r="E13" s="352" t="s">
        <v>40</v>
      </c>
      <c r="F13" s="191" t="s">
        <v>229</v>
      </c>
      <c r="G13" s="192" t="s">
        <v>41</v>
      </c>
      <c r="H13" s="192" t="s">
        <v>23</v>
      </c>
      <c r="I13" s="192">
        <v>2</v>
      </c>
      <c r="J13" s="192">
        <v>59719</v>
      </c>
      <c r="K13" s="192">
        <f t="shared" si="0"/>
        <v>119438</v>
      </c>
      <c r="L13" s="360" t="s">
        <v>29</v>
      </c>
      <c r="M13" s="398">
        <f>K13+K14+K15+K16+K17</f>
        <v>428318</v>
      </c>
      <c r="N13" s="137" t="s">
        <v>1207</v>
      </c>
    </row>
    <row r="14" spans="2:14" ht="31.5" x14ac:dyDescent="0.25">
      <c r="B14" s="361"/>
      <c r="C14" s="361"/>
      <c r="D14" s="361"/>
      <c r="E14" s="353"/>
      <c r="F14" s="88" t="s">
        <v>30</v>
      </c>
      <c r="G14" s="26" t="s">
        <v>28</v>
      </c>
      <c r="H14" s="15" t="s">
        <v>23</v>
      </c>
      <c r="I14" s="15">
        <v>2</v>
      </c>
      <c r="J14" s="10">
        <v>84500</v>
      </c>
      <c r="K14" s="10">
        <f t="shared" si="0"/>
        <v>169000</v>
      </c>
      <c r="L14" s="361"/>
      <c r="M14" s="399"/>
      <c r="N14" s="5"/>
    </row>
    <row r="15" spans="2:14" ht="31.5" x14ac:dyDescent="0.25">
      <c r="B15" s="361"/>
      <c r="C15" s="361"/>
      <c r="D15" s="361"/>
      <c r="E15" s="353"/>
      <c r="F15" s="88" t="s">
        <v>31</v>
      </c>
      <c r="G15" s="26" t="s">
        <v>28</v>
      </c>
      <c r="H15" s="15" t="s">
        <v>23</v>
      </c>
      <c r="I15" s="15">
        <v>1</v>
      </c>
      <c r="J15" s="10">
        <v>52416</v>
      </c>
      <c r="K15" s="10">
        <f t="shared" si="0"/>
        <v>52416</v>
      </c>
      <c r="L15" s="361"/>
      <c r="M15" s="399"/>
      <c r="N15" s="5"/>
    </row>
    <row r="16" spans="2:14" ht="31.5" x14ac:dyDescent="0.25">
      <c r="B16" s="361"/>
      <c r="C16" s="361"/>
      <c r="D16" s="361"/>
      <c r="E16" s="353"/>
      <c r="F16" s="88" t="s">
        <v>32</v>
      </c>
      <c r="G16" s="25" t="s">
        <v>33</v>
      </c>
      <c r="H16" s="15" t="s">
        <v>23</v>
      </c>
      <c r="I16" s="15">
        <v>7</v>
      </c>
      <c r="J16" s="10">
        <v>8632</v>
      </c>
      <c r="K16" s="10">
        <f t="shared" si="0"/>
        <v>60424</v>
      </c>
      <c r="L16" s="361"/>
      <c r="M16" s="399"/>
      <c r="N16" s="5"/>
    </row>
    <row r="17" spans="1:115" ht="31.5" x14ac:dyDescent="0.25">
      <c r="B17" s="361"/>
      <c r="C17" s="361"/>
      <c r="D17" s="361"/>
      <c r="E17" s="354"/>
      <c r="F17" s="88" t="s">
        <v>34</v>
      </c>
      <c r="G17" s="87" t="s">
        <v>36</v>
      </c>
      <c r="H17" s="15" t="s">
        <v>23</v>
      </c>
      <c r="I17" s="15">
        <v>4</v>
      </c>
      <c r="J17" s="10">
        <v>6760</v>
      </c>
      <c r="K17" s="10">
        <f t="shared" si="0"/>
        <v>27040</v>
      </c>
      <c r="L17" s="362"/>
      <c r="M17" s="400"/>
      <c r="N17" s="5"/>
    </row>
    <row r="18" spans="1:115" ht="31.5" x14ac:dyDescent="0.25">
      <c r="B18" s="361"/>
      <c r="C18" s="361"/>
      <c r="D18" s="361"/>
      <c r="E18" s="352" t="s">
        <v>879</v>
      </c>
      <c r="F18" s="223" t="s">
        <v>1219</v>
      </c>
      <c r="G18" s="24" t="s">
        <v>45</v>
      </c>
      <c r="H18" s="15" t="s">
        <v>23</v>
      </c>
      <c r="I18" s="15">
        <v>750</v>
      </c>
      <c r="J18" s="15">
        <v>63</v>
      </c>
      <c r="K18" s="15">
        <f t="shared" si="0"/>
        <v>47250</v>
      </c>
      <c r="L18" s="360" t="s">
        <v>29</v>
      </c>
      <c r="M18" s="398">
        <f>K18+K19</f>
        <v>56150</v>
      </c>
      <c r="N18" s="369"/>
    </row>
    <row r="19" spans="1:115" ht="15.75" x14ac:dyDescent="0.25">
      <c r="B19" s="362"/>
      <c r="C19" s="362"/>
      <c r="D19" s="362"/>
      <c r="E19" s="354"/>
      <c r="F19" s="224" t="s">
        <v>44</v>
      </c>
      <c r="G19" s="172" t="s">
        <v>45</v>
      </c>
      <c r="H19" s="15" t="s">
        <v>46</v>
      </c>
      <c r="I19" s="15">
        <v>100</v>
      </c>
      <c r="J19" s="15">
        <v>89</v>
      </c>
      <c r="K19" s="15">
        <f t="shared" si="0"/>
        <v>8900</v>
      </c>
      <c r="L19" s="362"/>
      <c r="M19" s="400"/>
      <c r="N19" s="371"/>
    </row>
    <row r="20" spans="1:115" ht="43.5" customHeight="1" x14ac:dyDescent="0.25">
      <c r="B20" s="360">
        <v>3</v>
      </c>
      <c r="C20" s="360" t="s">
        <v>38</v>
      </c>
      <c r="D20" s="360" t="s">
        <v>42</v>
      </c>
      <c r="E20" s="352" t="s">
        <v>40</v>
      </c>
      <c r="F20" s="191" t="s">
        <v>229</v>
      </c>
      <c r="G20" s="192" t="s">
        <v>41</v>
      </c>
      <c r="H20" s="192" t="s">
        <v>23</v>
      </c>
      <c r="I20" s="192">
        <v>3</v>
      </c>
      <c r="J20" s="192">
        <v>59719</v>
      </c>
      <c r="K20" s="192">
        <f t="shared" si="0"/>
        <v>179157</v>
      </c>
      <c r="L20" s="360" t="s">
        <v>29</v>
      </c>
      <c r="M20" s="398">
        <f>K20+K21+K22+K23</f>
        <v>344361</v>
      </c>
      <c r="N20" s="369"/>
    </row>
    <row r="21" spans="1:115" ht="34.5" customHeight="1" x14ac:dyDescent="0.25">
      <c r="B21" s="361"/>
      <c r="C21" s="361"/>
      <c r="D21" s="361"/>
      <c r="E21" s="353"/>
      <c r="F21" s="88" t="s">
        <v>30</v>
      </c>
      <c r="G21" s="26" t="s">
        <v>28</v>
      </c>
      <c r="H21" s="15" t="s">
        <v>23</v>
      </c>
      <c r="I21" s="15">
        <v>1</v>
      </c>
      <c r="J21" s="15">
        <v>84500</v>
      </c>
      <c r="K21" s="15">
        <f t="shared" si="0"/>
        <v>84500</v>
      </c>
      <c r="L21" s="361"/>
      <c r="M21" s="399"/>
      <c r="N21" s="370"/>
    </row>
    <row r="22" spans="1:115" ht="31.5" x14ac:dyDescent="0.25">
      <c r="B22" s="361"/>
      <c r="C22" s="361"/>
      <c r="D22" s="361"/>
      <c r="E22" s="353"/>
      <c r="F22" s="88" t="s">
        <v>32</v>
      </c>
      <c r="G22" s="25" t="s">
        <v>33</v>
      </c>
      <c r="H22" s="15" t="s">
        <v>23</v>
      </c>
      <c r="I22" s="15">
        <v>7</v>
      </c>
      <c r="J22" s="15">
        <v>8632</v>
      </c>
      <c r="K22" s="15">
        <f t="shared" si="0"/>
        <v>60424</v>
      </c>
      <c r="L22" s="361"/>
      <c r="M22" s="399"/>
      <c r="N22" s="370"/>
    </row>
    <row r="23" spans="1:115" ht="31.5" x14ac:dyDescent="0.25">
      <c r="B23" s="361"/>
      <c r="C23" s="361"/>
      <c r="D23" s="361"/>
      <c r="E23" s="354"/>
      <c r="F23" s="88" t="s">
        <v>34</v>
      </c>
      <c r="G23" s="87" t="s">
        <v>36</v>
      </c>
      <c r="H23" s="15" t="s">
        <v>23</v>
      </c>
      <c r="I23" s="15">
        <v>3</v>
      </c>
      <c r="J23" s="15">
        <v>6760</v>
      </c>
      <c r="K23" s="15">
        <f t="shared" si="0"/>
        <v>20280</v>
      </c>
      <c r="L23" s="362"/>
      <c r="M23" s="400"/>
      <c r="N23" s="371"/>
    </row>
    <row r="24" spans="1:115" ht="36" customHeight="1" x14ac:dyDescent="0.25">
      <c r="B24" s="361"/>
      <c r="C24" s="361"/>
      <c r="D24" s="361"/>
      <c r="E24" s="352" t="s">
        <v>879</v>
      </c>
      <c r="F24" s="223" t="s">
        <v>1219</v>
      </c>
      <c r="G24" s="24" t="s">
        <v>45</v>
      </c>
      <c r="H24" s="15" t="s">
        <v>23</v>
      </c>
      <c r="I24" s="15">
        <v>750</v>
      </c>
      <c r="J24" s="15">
        <v>63</v>
      </c>
      <c r="K24" s="15">
        <f t="shared" si="0"/>
        <v>47250</v>
      </c>
      <c r="L24" s="360" t="s">
        <v>29</v>
      </c>
      <c r="M24" s="398">
        <f>K24+K25</f>
        <v>56150</v>
      </c>
      <c r="N24" s="369"/>
    </row>
    <row r="25" spans="1:115" ht="36" customHeight="1" x14ac:dyDescent="0.25">
      <c r="B25" s="362"/>
      <c r="C25" s="362"/>
      <c r="D25" s="362"/>
      <c r="E25" s="354"/>
      <c r="F25" s="223" t="s">
        <v>44</v>
      </c>
      <c r="G25" s="172" t="s">
        <v>45</v>
      </c>
      <c r="H25" s="15" t="s">
        <v>46</v>
      </c>
      <c r="I25" s="15">
        <v>100</v>
      </c>
      <c r="J25" s="15">
        <v>89</v>
      </c>
      <c r="K25" s="15">
        <f t="shared" si="0"/>
        <v>8900</v>
      </c>
      <c r="L25" s="362"/>
      <c r="M25" s="400"/>
      <c r="N25" s="371"/>
    </row>
    <row r="26" spans="1:115" ht="18.75" customHeight="1" x14ac:dyDescent="0.3">
      <c r="B26" s="395" t="s">
        <v>17</v>
      </c>
      <c r="C26" s="396"/>
      <c r="D26" s="396"/>
      <c r="E26" s="396"/>
      <c r="F26" s="396"/>
      <c r="G26" s="397"/>
      <c r="H26" s="34"/>
      <c r="I26" s="34"/>
      <c r="J26" s="34"/>
      <c r="K26" s="38">
        <f>SUM(K9:K25)</f>
        <v>1093967</v>
      </c>
      <c r="L26" s="34"/>
      <c r="M26" s="40">
        <f>SUM(M8:M25)</f>
        <v>4852553</v>
      </c>
      <c r="N26" s="41"/>
      <c r="Q26" s="243">
        <f>M26-K26</f>
        <v>3758586</v>
      </c>
    </row>
    <row r="27" spans="1:115" ht="18.75" x14ac:dyDescent="0.3">
      <c r="B27" s="440" t="s">
        <v>22</v>
      </c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2"/>
    </row>
    <row r="28" spans="1:115" s="18" customFormat="1" ht="31.5" x14ac:dyDescent="0.25">
      <c r="A28"/>
      <c r="B28" s="17">
        <v>4</v>
      </c>
      <c r="C28" s="15" t="s">
        <v>48</v>
      </c>
      <c r="D28" s="20" t="s">
        <v>49</v>
      </c>
      <c r="E28" s="15" t="s">
        <v>48</v>
      </c>
      <c r="F28" s="87" t="s">
        <v>37</v>
      </c>
      <c r="G28" s="3"/>
      <c r="H28" s="19"/>
      <c r="I28" s="3"/>
      <c r="J28" s="3"/>
      <c r="K28" s="3"/>
      <c r="L28" s="32" t="s">
        <v>135</v>
      </c>
      <c r="M28" s="31">
        <v>99262</v>
      </c>
      <c r="N28" s="3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</row>
    <row r="29" spans="1:115" ht="31.5" x14ac:dyDescent="0.25">
      <c r="B29" s="58">
        <v>5</v>
      </c>
      <c r="C29" s="15" t="s">
        <v>48</v>
      </c>
      <c r="D29" s="21" t="s">
        <v>216</v>
      </c>
      <c r="E29" s="15" t="s">
        <v>48</v>
      </c>
      <c r="F29" s="87" t="s">
        <v>37</v>
      </c>
      <c r="G29" s="13"/>
      <c r="H29" s="19"/>
      <c r="I29" s="13"/>
      <c r="J29" s="13"/>
      <c r="K29" s="13"/>
      <c r="L29" s="32" t="s">
        <v>135</v>
      </c>
      <c r="M29" s="31">
        <v>122388</v>
      </c>
      <c r="N29" s="13"/>
    </row>
    <row r="30" spans="1:115" ht="66.75" customHeight="1" x14ac:dyDescent="0.25">
      <c r="B30" s="16">
        <v>6</v>
      </c>
      <c r="C30" s="15" t="s">
        <v>48</v>
      </c>
      <c r="D30" s="21" t="s">
        <v>50</v>
      </c>
      <c r="E30" s="15" t="s">
        <v>48</v>
      </c>
      <c r="F30" s="87" t="s">
        <v>37</v>
      </c>
      <c r="G30" s="13"/>
      <c r="H30" s="32"/>
      <c r="I30" s="14"/>
      <c r="J30" s="14"/>
      <c r="K30" s="14"/>
      <c r="L30" s="32" t="s">
        <v>135</v>
      </c>
      <c r="M30" s="31">
        <v>341459</v>
      </c>
      <c r="N30" s="14"/>
    </row>
    <row r="31" spans="1:115" ht="18.75" x14ac:dyDescent="0.3">
      <c r="B31" s="395" t="s">
        <v>17</v>
      </c>
      <c r="C31" s="396"/>
      <c r="D31" s="396"/>
      <c r="E31" s="396"/>
      <c r="F31" s="396"/>
      <c r="G31" s="397"/>
      <c r="H31" s="34"/>
      <c r="I31" s="34"/>
      <c r="J31" s="34"/>
      <c r="K31" s="34"/>
      <c r="L31" s="34"/>
      <c r="M31" s="38">
        <f>M28+M30+M29</f>
        <v>563109</v>
      </c>
      <c r="N31" s="34"/>
      <c r="Q31" s="243">
        <f>M31</f>
        <v>563109</v>
      </c>
    </row>
    <row r="32" spans="1:115" ht="18.75" x14ac:dyDescent="0.3">
      <c r="B32" s="407" t="s">
        <v>14</v>
      </c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</row>
    <row r="33" spans="2:14" ht="47.25" x14ac:dyDescent="0.25">
      <c r="B33" s="10">
        <v>7</v>
      </c>
      <c r="C33" s="10" t="s">
        <v>24</v>
      </c>
      <c r="D33" s="12" t="s">
        <v>25</v>
      </c>
      <c r="E33" s="11" t="s">
        <v>835</v>
      </c>
      <c r="F33" s="87" t="s">
        <v>37</v>
      </c>
      <c r="G33" s="3"/>
      <c r="H33" s="72"/>
      <c r="I33" s="72"/>
      <c r="J33" s="3"/>
      <c r="K33" s="3"/>
      <c r="L33" s="32" t="s">
        <v>136</v>
      </c>
      <c r="M33" s="71">
        <v>1184972</v>
      </c>
      <c r="N33" s="8"/>
    </row>
    <row r="34" spans="2:14" ht="50.25" customHeight="1" x14ac:dyDescent="0.25">
      <c r="B34" s="360">
        <v>8</v>
      </c>
      <c r="C34" s="360" t="s">
        <v>38</v>
      </c>
      <c r="D34" s="445" t="s">
        <v>39</v>
      </c>
      <c r="E34" s="443" t="s">
        <v>92</v>
      </c>
      <c r="F34" s="206" t="s">
        <v>51</v>
      </c>
      <c r="G34" s="417" t="s">
        <v>227</v>
      </c>
      <c r="H34" s="15" t="s">
        <v>56</v>
      </c>
      <c r="I34" s="15">
        <v>1.2</v>
      </c>
      <c r="J34" s="15">
        <v>62000</v>
      </c>
      <c r="K34" s="71">
        <f t="shared" ref="K34:K65" si="1">J34*I34</f>
        <v>74400</v>
      </c>
      <c r="L34" s="360" t="s">
        <v>29</v>
      </c>
      <c r="M34" s="398">
        <f>K34+K35+K36+K37+K38</f>
        <v>152130</v>
      </c>
      <c r="N34" s="369"/>
    </row>
    <row r="35" spans="2:14" ht="15.75" x14ac:dyDescent="0.25">
      <c r="B35" s="361"/>
      <c r="C35" s="361"/>
      <c r="D35" s="445"/>
      <c r="E35" s="443"/>
      <c r="F35" s="206" t="s">
        <v>52</v>
      </c>
      <c r="G35" s="417"/>
      <c r="H35" s="15" t="s">
        <v>56</v>
      </c>
      <c r="I35" s="15">
        <v>0.22</v>
      </c>
      <c r="J35" s="15">
        <v>51000</v>
      </c>
      <c r="K35" s="71">
        <f t="shared" si="1"/>
        <v>11220</v>
      </c>
      <c r="L35" s="361"/>
      <c r="M35" s="399"/>
      <c r="N35" s="370"/>
    </row>
    <row r="36" spans="2:14" ht="15.75" x14ac:dyDescent="0.25">
      <c r="B36" s="361"/>
      <c r="C36" s="361"/>
      <c r="D36" s="445"/>
      <c r="E36" s="443"/>
      <c r="F36" s="225" t="s">
        <v>53</v>
      </c>
      <c r="G36" s="417"/>
      <c r="H36" s="15" t="s">
        <v>68</v>
      </c>
      <c r="I36" s="15">
        <v>1200</v>
      </c>
      <c r="J36" s="15">
        <v>45</v>
      </c>
      <c r="K36" s="71">
        <f t="shared" si="1"/>
        <v>54000</v>
      </c>
      <c r="L36" s="361"/>
      <c r="M36" s="399"/>
      <c r="N36" s="370"/>
    </row>
    <row r="37" spans="2:14" ht="15.75" x14ac:dyDescent="0.25">
      <c r="B37" s="361"/>
      <c r="C37" s="361"/>
      <c r="D37" s="445"/>
      <c r="E37" s="443"/>
      <c r="F37" s="225" t="s">
        <v>891</v>
      </c>
      <c r="G37" s="417"/>
      <c r="H37" s="15" t="s">
        <v>23</v>
      </c>
      <c r="I37" s="15">
        <v>3</v>
      </c>
      <c r="J37" s="15">
        <v>1170</v>
      </c>
      <c r="K37" s="71">
        <f t="shared" si="1"/>
        <v>3510</v>
      </c>
      <c r="L37" s="361"/>
      <c r="M37" s="399"/>
      <c r="N37" s="370"/>
    </row>
    <row r="38" spans="2:14" ht="15.75" x14ac:dyDescent="0.25">
      <c r="B38" s="362"/>
      <c r="C38" s="362"/>
      <c r="D38" s="445"/>
      <c r="E38" s="443"/>
      <c r="F38" s="225" t="s">
        <v>54</v>
      </c>
      <c r="G38" s="417"/>
      <c r="H38" s="15" t="s">
        <v>57</v>
      </c>
      <c r="I38" s="15">
        <v>20</v>
      </c>
      <c r="J38" s="15">
        <v>450</v>
      </c>
      <c r="K38" s="71">
        <f t="shared" si="1"/>
        <v>9000</v>
      </c>
      <c r="L38" s="362"/>
      <c r="M38" s="400"/>
      <c r="N38" s="371"/>
    </row>
    <row r="39" spans="2:14" ht="32.25" customHeight="1" x14ac:dyDescent="0.25">
      <c r="B39" s="360">
        <v>9</v>
      </c>
      <c r="C39" s="360" t="s">
        <v>38</v>
      </c>
      <c r="D39" s="372" t="s">
        <v>58</v>
      </c>
      <c r="E39" s="20" t="s">
        <v>880</v>
      </c>
      <c r="F39" s="185" t="s">
        <v>59</v>
      </c>
      <c r="G39" s="182" t="s">
        <v>79</v>
      </c>
      <c r="H39" s="15" t="s">
        <v>23</v>
      </c>
      <c r="I39" s="15">
        <v>800</v>
      </c>
      <c r="J39" s="15">
        <v>1885</v>
      </c>
      <c r="K39" s="71">
        <f t="shared" si="1"/>
        <v>1508000</v>
      </c>
      <c r="L39" s="10" t="s">
        <v>29</v>
      </c>
      <c r="M39" s="44">
        <f>K39</f>
        <v>1508000</v>
      </c>
      <c r="N39" s="8"/>
    </row>
    <row r="40" spans="2:14" ht="51.75" customHeight="1" x14ac:dyDescent="0.25">
      <c r="B40" s="361"/>
      <c r="C40" s="361"/>
      <c r="D40" s="372"/>
      <c r="E40" s="20" t="s">
        <v>881</v>
      </c>
      <c r="F40" s="185" t="s">
        <v>960</v>
      </c>
      <c r="G40" s="32" t="s">
        <v>80</v>
      </c>
      <c r="H40" s="15" t="s">
        <v>23</v>
      </c>
      <c r="I40" s="15">
        <v>64</v>
      </c>
      <c r="J40" s="15">
        <v>5541</v>
      </c>
      <c r="K40" s="71">
        <f t="shared" si="1"/>
        <v>354624</v>
      </c>
      <c r="L40" s="10" t="s">
        <v>29</v>
      </c>
      <c r="M40" s="44">
        <f>K40</f>
        <v>354624</v>
      </c>
      <c r="N40" s="2" t="s">
        <v>887</v>
      </c>
    </row>
    <row r="41" spans="2:14" ht="36" customHeight="1" x14ac:dyDescent="0.25">
      <c r="B41" s="361"/>
      <c r="C41" s="361"/>
      <c r="D41" s="372"/>
      <c r="E41" s="450" t="s">
        <v>81</v>
      </c>
      <c r="F41" s="206" t="s">
        <v>60</v>
      </c>
      <c r="G41" s="449" t="s">
        <v>82</v>
      </c>
      <c r="H41" s="114" t="s">
        <v>56</v>
      </c>
      <c r="I41" s="114">
        <v>0.25</v>
      </c>
      <c r="J41" s="114">
        <v>51000</v>
      </c>
      <c r="K41" s="71">
        <f t="shared" si="1"/>
        <v>12750</v>
      </c>
      <c r="L41" s="360" t="s">
        <v>29</v>
      </c>
      <c r="M41" s="398">
        <f>K41+K42+K43+K44</f>
        <v>105750</v>
      </c>
      <c r="N41" s="369"/>
    </row>
    <row r="42" spans="2:14" ht="42" customHeight="1" x14ac:dyDescent="0.25">
      <c r="B42" s="361"/>
      <c r="C42" s="361"/>
      <c r="D42" s="372"/>
      <c r="E42" s="450"/>
      <c r="F42" s="206" t="s">
        <v>61</v>
      </c>
      <c r="G42" s="449"/>
      <c r="H42" s="114" t="s">
        <v>56</v>
      </c>
      <c r="I42" s="30">
        <v>0.7</v>
      </c>
      <c r="J42" s="114">
        <v>62000</v>
      </c>
      <c r="K42" s="71">
        <f t="shared" si="1"/>
        <v>43400</v>
      </c>
      <c r="L42" s="361"/>
      <c r="M42" s="399"/>
      <c r="N42" s="370"/>
    </row>
    <row r="43" spans="2:14" ht="39.75" customHeight="1" x14ac:dyDescent="0.25">
      <c r="B43" s="361"/>
      <c r="C43" s="361"/>
      <c r="D43" s="372"/>
      <c r="E43" s="450"/>
      <c r="F43" s="206" t="s">
        <v>62</v>
      </c>
      <c r="G43" s="449"/>
      <c r="H43" s="114" t="s">
        <v>56</v>
      </c>
      <c r="I43" s="30">
        <v>0.6</v>
      </c>
      <c r="J43" s="114">
        <v>62000</v>
      </c>
      <c r="K43" s="71">
        <f t="shared" si="1"/>
        <v>37200</v>
      </c>
      <c r="L43" s="361"/>
      <c r="M43" s="399"/>
      <c r="N43" s="370"/>
    </row>
    <row r="44" spans="2:14" ht="31.5" x14ac:dyDescent="0.25">
      <c r="B44" s="361"/>
      <c r="C44" s="361"/>
      <c r="D44" s="372"/>
      <c r="E44" s="450"/>
      <c r="F44" s="206" t="s">
        <v>63</v>
      </c>
      <c r="G44" s="449"/>
      <c r="H44" s="114" t="s">
        <v>56</v>
      </c>
      <c r="I44" s="30">
        <v>0.2</v>
      </c>
      <c r="J44" s="114">
        <v>62000</v>
      </c>
      <c r="K44" s="71">
        <f t="shared" si="1"/>
        <v>12400</v>
      </c>
      <c r="L44" s="362"/>
      <c r="M44" s="400"/>
      <c r="N44" s="371"/>
    </row>
    <row r="45" spans="2:14" ht="47.25" x14ac:dyDescent="0.25">
      <c r="B45" s="361"/>
      <c r="C45" s="361"/>
      <c r="D45" s="372"/>
      <c r="E45" s="446" t="s">
        <v>882</v>
      </c>
      <c r="F45" s="185" t="s">
        <v>64</v>
      </c>
      <c r="G45" s="15" t="s">
        <v>84</v>
      </c>
      <c r="H45" s="32" t="s">
        <v>65</v>
      </c>
      <c r="I45" s="32">
        <v>1</v>
      </c>
      <c r="J45" s="15">
        <v>31200</v>
      </c>
      <c r="K45" s="71">
        <f t="shared" si="1"/>
        <v>31200</v>
      </c>
      <c r="L45" s="360" t="s">
        <v>29</v>
      </c>
      <c r="M45" s="447">
        <f>K45+K46</f>
        <v>56400</v>
      </c>
      <c r="N45" s="369"/>
    </row>
    <row r="46" spans="2:14" ht="47.25" x14ac:dyDescent="0.25">
      <c r="B46" s="361"/>
      <c r="C46" s="361"/>
      <c r="D46" s="372"/>
      <c r="E46" s="446"/>
      <c r="F46" s="185" t="s">
        <v>66</v>
      </c>
      <c r="G46" s="15" t="s">
        <v>85</v>
      </c>
      <c r="H46" s="32" t="s">
        <v>65</v>
      </c>
      <c r="I46" s="15">
        <v>1</v>
      </c>
      <c r="J46" s="15">
        <v>25200</v>
      </c>
      <c r="K46" s="71">
        <f t="shared" si="1"/>
        <v>25200</v>
      </c>
      <c r="L46" s="362"/>
      <c r="M46" s="447"/>
      <c r="N46" s="371"/>
    </row>
    <row r="47" spans="2:14" ht="15.75" x14ac:dyDescent="0.25">
      <c r="B47" s="361"/>
      <c r="C47" s="361"/>
      <c r="D47" s="372"/>
      <c r="E47" s="446" t="s">
        <v>883</v>
      </c>
      <c r="F47" s="225" t="s">
        <v>67</v>
      </c>
      <c r="G47" s="3" t="s">
        <v>884</v>
      </c>
      <c r="H47" s="15" t="s">
        <v>68</v>
      </c>
      <c r="I47" s="15">
        <v>1200</v>
      </c>
      <c r="J47" s="15">
        <v>306</v>
      </c>
      <c r="K47" s="71">
        <f t="shared" si="1"/>
        <v>367200</v>
      </c>
      <c r="L47" s="360" t="s">
        <v>29</v>
      </c>
      <c r="M47" s="447">
        <f>K47+K48+K49</f>
        <v>542300</v>
      </c>
      <c r="N47" s="369"/>
    </row>
    <row r="48" spans="2:14" ht="15.75" x14ac:dyDescent="0.25">
      <c r="B48" s="361"/>
      <c r="C48" s="361"/>
      <c r="D48" s="372"/>
      <c r="E48" s="446"/>
      <c r="F48" s="225" t="s">
        <v>69</v>
      </c>
      <c r="G48" s="3" t="s">
        <v>884</v>
      </c>
      <c r="H48" s="15" t="s">
        <v>68</v>
      </c>
      <c r="I48" s="15">
        <v>200</v>
      </c>
      <c r="J48" s="15">
        <v>248</v>
      </c>
      <c r="K48" s="71">
        <f t="shared" si="1"/>
        <v>49600</v>
      </c>
      <c r="L48" s="361"/>
      <c r="M48" s="447"/>
      <c r="N48" s="370"/>
    </row>
    <row r="49" spans="2:14" ht="15.75" x14ac:dyDescent="0.25">
      <c r="B49" s="361"/>
      <c r="C49" s="361"/>
      <c r="D49" s="372"/>
      <c r="E49" s="446"/>
      <c r="F49" s="224" t="s">
        <v>70</v>
      </c>
      <c r="G49" s="15" t="s">
        <v>884</v>
      </c>
      <c r="H49" s="15" t="s">
        <v>71</v>
      </c>
      <c r="I49" s="15">
        <v>250</v>
      </c>
      <c r="J49" s="15">
        <v>502</v>
      </c>
      <c r="K49" s="71">
        <f t="shared" si="1"/>
        <v>125500</v>
      </c>
      <c r="L49" s="362"/>
      <c r="M49" s="447"/>
      <c r="N49" s="371"/>
    </row>
    <row r="50" spans="2:14" ht="31.5" x14ac:dyDescent="0.25">
      <c r="B50" s="361"/>
      <c r="C50" s="361"/>
      <c r="D50" s="372"/>
      <c r="E50" s="24" t="s">
        <v>86</v>
      </c>
      <c r="F50" s="206" t="s">
        <v>72</v>
      </c>
      <c r="G50" s="3"/>
      <c r="H50" s="32" t="s">
        <v>56</v>
      </c>
      <c r="I50" s="32">
        <v>0.5</v>
      </c>
      <c r="J50" s="15">
        <v>39000</v>
      </c>
      <c r="K50" s="71">
        <f t="shared" si="1"/>
        <v>19500</v>
      </c>
      <c r="L50" s="10" t="s">
        <v>29</v>
      </c>
      <c r="M50" s="48">
        <f>K50</f>
        <v>19500</v>
      </c>
      <c r="N50" s="8"/>
    </row>
    <row r="51" spans="2:14" ht="31.5" x14ac:dyDescent="0.25">
      <c r="B51" s="361"/>
      <c r="C51" s="361"/>
      <c r="D51" s="372"/>
      <c r="E51" s="446" t="s">
        <v>885</v>
      </c>
      <c r="F51" s="88" t="s">
        <v>73</v>
      </c>
      <c r="G51" s="15" t="s">
        <v>87</v>
      </c>
      <c r="H51" s="32" t="s">
        <v>23</v>
      </c>
      <c r="I51" s="32">
        <v>2</v>
      </c>
      <c r="J51" s="15">
        <v>35381</v>
      </c>
      <c r="K51" s="71">
        <f t="shared" si="1"/>
        <v>70762</v>
      </c>
      <c r="L51" s="360" t="s">
        <v>29</v>
      </c>
      <c r="M51" s="447">
        <f>K51+K52+K53+K54</f>
        <v>248250</v>
      </c>
      <c r="N51" s="369"/>
    </row>
    <row r="52" spans="2:14" ht="31.5" x14ac:dyDescent="0.25">
      <c r="B52" s="361"/>
      <c r="C52" s="361"/>
      <c r="D52" s="372"/>
      <c r="E52" s="446"/>
      <c r="F52" s="88" t="s">
        <v>74</v>
      </c>
      <c r="G52" s="15" t="s">
        <v>87</v>
      </c>
      <c r="H52" s="32" t="s">
        <v>23</v>
      </c>
      <c r="I52" s="32">
        <v>4</v>
      </c>
      <c r="J52" s="15">
        <v>23800</v>
      </c>
      <c r="K52" s="71">
        <f t="shared" si="1"/>
        <v>95200</v>
      </c>
      <c r="L52" s="361"/>
      <c r="M52" s="447"/>
      <c r="N52" s="370"/>
    </row>
    <row r="53" spans="2:14" ht="31.5" x14ac:dyDescent="0.25">
      <c r="B53" s="361"/>
      <c r="C53" s="361"/>
      <c r="D53" s="372"/>
      <c r="E53" s="446"/>
      <c r="F53" s="88" t="s">
        <v>75</v>
      </c>
      <c r="G53" s="15" t="s">
        <v>87</v>
      </c>
      <c r="H53" s="32" t="s">
        <v>23</v>
      </c>
      <c r="I53" s="32">
        <v>4</v>
      </c>
      <c r="J53" s="15">
        <v>11592</v>
      </c>
      <c r="K53" s="71">
        <f t="shared" si="1"/>
        <v>46368</v>
      </c>
      <c r="L53" s="361"/>
      <c r="M53" s="447"/>
      <c r="N53" s="370"/>
    </row>
    <row r="54" spans="2:14" ht="51.75" customHeight="1" x14ac:dyDescent="0.25">
      <c r="B54" s="361"/>
      <c r="C54" s="361"/>
      <c r="D54" s="372"/>
      <c r="E54" s="446"/>
      <c r="F54" s="88" t="s">
        <v>76</v>
      </c>
      <c r="G54" s="32" t="s">
        <v>94</v>
      </c>
      <c r="H54" s="32" t="s">
        <v>23</v>
      </c>
      <c r="I54" s="32">
        <v>4</v>
      </c>
      <c r="J54" s="15">
        <v>8980</v>
      </c>
      <c r="K54" s="71">
        <f t="shared" si="1"/>
        <v>35920</v>
      </c>
      <c r="L54" s="362"/>
      <c r="M54" s="447"/>
      <c r="N54" s="371"/>
    </row>
    <row r="55" spans="2:14" ht="29.25" customHeight="1" x14ac:dyDescent="0.25">
      <c r="B55" s="361"/>
      <c r="C55" s="361"/>
      <c r="D55" s="372"/>
      <c r="E55" s="23" t="s">
        <v>95</v>
      </c>
      <c r="F55" s="207" t="s">
        <v>228</v>
      </c>
      <c r="G55" s="15" t="s">
        <v>88</v>
      </c>
      <c r="H55" s="19" t="s">
        <v>23</v>
      </c>
      <c r="I55" s="32">
        <v>12</v>
      </c>
      <c r="J55" s="15">
        <v>4400</v>
      </c>
      <c r="K55" s="71">
        <f t="shared" si="1"/>
        <v>52800</v>
      </c>
      <c r="L55" s="10" t="s">
        <v>29</v>
      </c>
      <c r="M55" s="48">
        <f>K55</f>
        <v>52800</v>
      </c>
      <c r="N55" s="8"/>
    </row>
    <row r="56" spans="2:14" ht="31.5" x14ac:dyDescent="0.25">
      <c r="B56" s="361"/>
      <c r="C56" s="361"/>
      <c r="D56" s="372"/>
      <c r="E56" s="23" t="s">
        <v>90</v>
      </c>
      <c r="F56" s="207" t="s">
        <v>77</v>
      </c>
      <c r="G56" s="15" t="s">
        <v>89</v>
      </c>
      <c r="H56" s="32" t="s">
        <v>23</v>
      </c>
      <c r="I56" s="32">
        <v>6</v>
      </c>
      <c r="J56" s="15">
        <v>510</v>
      </c>
      <c r="K56" s="71">
        <f t="shared" si="1"/>
        <v>3060</v>
      </c>
      <c r="L56" s="10" t="s">
        <v>29</v>
      </c>
      <c r="M56" s="48">
        <f>K56</f>
        <v>3060</v>
      </c>
      <c r="N56" s="8"/>
    </row>
    <row r="57" spans="2:14" ht="15.75" x14ac:dyDescent="0.25">
      <c r="B57" s="361"/>
      <c r="C57" s="361"/>
      <c r="D57" s="372"/>
      <c r="E57" s="23" t="s">
        <v>91</v>
      </c>
      <c r="F57" s="207" t="s">
        <v>78</v>
      </c>
      <c r="G57" s="3"/>
      <c r="H57" s="32" t="s">
        <v>56</v>
      </c>
      <c r="I57" s="32">
        <v>0.3</v>
      </c>
      <c r="J57" s="15">
        <v>39000</v>
      </c>
      <c r="K57" s="71">
        <f t="shared" si="1"/>
        <v>11700</v>
      </c>
      <c r="L57" s="10" t="s">
        <v>29</v>
      </c>
      <c r="M57" s="47">
        <f>K57</f>
        <v>11700</v>
      </c>
      <c r="N57" s="8"/>
    </row>
    <row r="58" spans="2:14" ht="31.5" x14ac:dyDescent="0.25">
      <c r="B58" s="361"/>
      <c r="C58" s="361"/>
      <c r="D58" s="372"/>
      <c r="E58" s="23" t="s">
        <v>96</v>
      </c>
      <c r="F58" s="185" t="s">
        <v>962</v>
      </c>
      <c r="G58" s="15" t="s">
        <v>97</v>
      </c>
      <c r="H58" s="32" t="s">
        <v>134</v>
      </c>
      <c r="I58" s="32">
        <v>20</v>
      </c>
      <c r="J58" s="15">
        <v>16950</v>
      </c>
      <c r="K58" s="71">
        <f t="shared" si="1"/>
        <v>339000</v>
      </c>
      <c r="L58" s="10" t="s">
        <v>29</v>
      </c>
      <c r="M58" s="47">
        <f>K58</f>
        <v>339000</v>
      </c>
      <c r="N58" s="8"/>
    </row>
    <row r="59" spans="2:14" ht="47.25" x14ac:dyDescent="0.25">
      <c r="B59" s="361"/>
      <c r="C59" s="361"/>
      <c r="D59" s="372"/>
      <c r="E59" s="363" t="s">
        <v>98</v>
      </c>
      <c r="F59" s="226" t="s">
        <v>99</v>
      </c>
      <c r="G59" s="373" t="s">
        <v>113</v>
      </c>
      <c r="H59" s="138" t="s">
        <v>68</v>
      </c>
      <c r="I59" s="138">
        <v>20</v>
      </c>
      <c r="J59" s="183">
        <v>468</v>
      </c>
      <c r="K59" s="71">
        <f t="shared" si="1"/>
        <v>9360</v>
      </c>
      <c r="L59" s="360" t="s">
        <v>29</v>
      </c>
      <c r="M59" s="398">
        <f>SUM(K59:K76)</f>
        <v>165940</v>
      </c>
      <c r="N59" s="369"/>
    </row>
    <row r="60" spans="2:14" ht="47.25" x14ac:dyDescent="0.25">
      <c r="B60" s="361"/>
      <c r="C60" s="361"/>
      <c r="D60" s="372"/>
      <c r="E60" s="363"/>
      <c r="F60" s="226" t="s">
        <v>100</v>
      </c>
      <c r="G60" s="373"/>
      <c r="H60" s="138" t="s">
        <v>68</v>
      </c>
      <c r="I60" s="138">
        <v>20</v>
      </c>
      <c r="J60" s="138">
        <v>430</v>
      </c>
      <c r="K60" s="71">
        <f t="shared" si="1"/>
        <v>8600</v>
      </c>
      <c r="L60" s="361"/>
      <c r="M60" s="399"/>
      <c r="N60" s="370"/>
    </row>
    <row r="61" spans="2:14" ht="47.25" x14ac:dyDescent="0.25">
      <c r="B61" s="361"/>
      <c r="C61" s="361"/>
      <c r="D61" s="372"/>
      <c r="E61" s="363"/>
      <c r="F61" s="226" t="s">
        <v>101</v>
      </c>
      <c r="G61" s="373"/>
      <c r="H61" s="138" t="s">
        <v>68</v>
      </c>
      <c r="I61" s="138">
        <v>20</v>
      </c>
      <c r="J61" s="138">
        <v>345</v>
      </c>
      <c r="K61" s="71">
        <f t="shared" si="1"/>
        <v>6900</v>
      </c>
      <c r="L61" s="361"/>
      <c r="M61" s="399"/>
      <c r="N61" s="370"/>
    </row>
    <row r="62" spans="2:14" ht="47.25" x14ac:dyDescent="0.25">
      <c r="B62" s="361"/>
      <c r="C62" s="361"/>
      <c r="D62" s="372"/>
      <c r="E62" s="363"/>
      <c r="F62" s="226" t="s">
        <v>102</v>
      </c>
      <c r="G62" s="373"/>
      <c r="H62" s="138" t="s">
        <v>68</v>
      </c>
      <c r="I62" s="138">
        <v>20</v>
      </c>
      <c r="J62" s="138">
        <v>322</v>
      </c>
      <c r="K62" s="71">
        <f t="shared" si="1"/>
        <v>6440</v>
      </c>
      <c r="L62" s="361"/>
      <c r="M62" s="399"/>
      <c r="N62" s="370"/>
    </row>
    <row r="63" spans="2:14" ht="47.25" x14ac:dyDescent="0.25">
      <c r="B63" s="361"/>
      <c r="C63" s="361"/>
      <c r="D63" s="372"/>
      <c r="E63" s="363"/>
      <c r="F63" s="226" t="s">
        <v>103</v>
      </c>
      <c r="G63" s="373"/>
      <c r="H63" s="138" t="s">
        <v>68</v>
      </c>
      <c r="I63" s="138">
        <v>20</v>
      </c>
      <c r="J63" s="138">
        <v>322</v>
      </c>
      <c r="K63" s="71">
        <f t="shared" si="1"/>
        <v>6440</v>
      </c>
      <c r="L63" s="361"/>
      <c r="M63" s="399"/>
      <c r="N63" s="370"/>
    </row>
    <row r="64" spans="2:14" ht="47.25" x14ac:dyDescent="0.25">
      <c r="B64" s="361"/>
      <c r="C64" s="361"/>
      <c r="D64" s="372"/>
      <c r="E64" s="363"/>
      <c r="F64" s="226" t="s">
        <v>104</v>
      </c>
      <c r="G64" s="373"/>
      <c r="H64" s="138" t="s">
        <v>68</v>
      </c>
      <c r="I64" s="138">
        <v>20</v>
      </c>
      <c r="J64" s="138">
        <v>357</v>
      </c>
      <c r="K64" s="71">
        <f t="shared" si="1"/>
        <v>7140</v>
      </c>
      <c r="L64" s="361"/>
      <c r="M64" s="399"/>
      <c r="N64" s="370"/>
    </row>
    <row r="65" spans="2:14" ht="47.25" x14ac:dyDescent="0.25">
      <c r="B65" s="361"/>
      <c r="C65" s="361"/>
      <c r="D65" s="372"/>
      <c r="E65" s="363"/>
      <c r="F65" s="226" t="s">
        <v>105</v>
      </c>
      <c r="G65" s="373"/>
      <c r="H65" s="138" t="s">
        <v>68</v>
      </c>
      <c r="I65" s="138">
        <v>20</v>
      </c>
      <c r="J65" s="184">
        <v>374</v>
      </c>
      <c r="K65" s="71">
        <f t="shared" si="1"/>
        <v>7480</v>
      </c>
      <c r="L65" s="361"/>
      <c r="M65" s="399"/>
      <c r="N65" s="370"/>
    </row>
    <row r="66" spans="2:14" ht="47.25" x14ac:dyDescent="0.25">
      <c r="B66" s="361"/>
      <c r="C66" s="361"/>
      <c r="D66" s="372"/>
      <c r="E66" s="363"/>
      <c r="F66" s="226" t="s">
        <v>106</v>
      </c>
      <c r="G66" s="373"/>
      <c r="H66" s="138" t="s">
        <v>68</v>
      </c>
      <c r="I66" s="138">
        <v>20</v>
      </c>
      <c r="J66" s="15">
        <v>374</v>
      </c>
      <c r="K66" s="71">
        <f t="shared" ref="K66:K83" si="2">J66*I66</f>
        <v>7480</v>
      </c>
      <c r="L66" s="361"/>
      <c r="M66" s="399"/>
      <c r="N66" s="370"/>
    </row>
    <row r="67" spans="2:14" ht="47.25" x14ac:dyDescent="0.25">
      <c r="B67" s="361"/>
      <c r="C67" s="361"/>
      <c r="D67" s="372"/>
      <c r="E67" s="363"/>
      <c r="F67" s="226" t="s">
        <v>107</v>
      </c>
      <c r="G67" s="373"/>
      <c r="H67" s="138" t="s">
        <v>68</v>
      </c>
      <c r="I67" s="138">
        <v>20</v>
      </c>
      <c r="J67" s="138">
        <v>537</v>
      </c>
      <c r="K67" s="71">
        <f t="shared" si="2"/>
        <v>10740</v>
      </c>
      <c r="L67" s="361"/>
      <c r="M67" s="399"/>
      <c r="N67" s="370"/>
    </row>
    <row r="68" spans="2:14" ht="47.25" x14ac:dyDescent="0.25">
      <c r="B68" s="361"/>
      <c r="C68" s="361"/>
      <c r="D68" s="372"/>
      <c r="E68" s="363"/>
      <c r="F68" s="226" t="s">
        <v>108</v>
      </c>
      <c r="G68" s="373"/>
      <c r="H68" s="138" t="s">
        <v>68</v>
      </c>
      <c r="I68" s="138">
        <v>20</v>
      </c>
      <c r="J68" s="138">
        <v>537</v>
      </c>
      <c r="K68" s="71">
        <f t="shared" si="2"/>
        <v>10740</v>
      </c>
      <c r="L68" s="361"/>
      <c r="M68" s="399"/>
      <c r="N68" s="370"/>
    </row>
    <row r="69" spans="2:14" ht="47.25" x14ac:dyDescent="0.25">
      <c r="B69" s="361"/>
      <c r="C69" s="361"/>
      <c r="D69" s="372"/>
      <c r="E69" s="363"/>
      <c r="F69" s="226" t="s">
        <v>109</v>
      </c>
      <c r="G69" s="373"/>
      <c r="H69" s="138" t="s">
        <v>68</v>
      </c>
      <c r="I69" s="138">
        <v>20</v>
      </c>
      <c r="J69" s="138">
        <v>537</v>
      </c>
      <c r="K69" s="71">
        <f t="shared" si="2"/>
        <v>10740</v>
      </c>
      <c r="L69" s="361"/>
      <c r="M69" s="399"/>
      <c r="N69" s="370"/>
    </row>
    <row r="70" spans="2:14" ht="47.25" x14ac:dyDescent="0.25">
      <c r="B70" s="361"/>
      <c r="C70" s="361"/>
      <c r="D70" s="372"/>
      <c r="E70" s="363"/>
      <c r="F70" s="226" t="s">
        <v>110</v>
      </c>
      <c r="G70" s="373"/>
      <c r="H70" s="138" t="s">
        <v>68</v>
      </c>
      <c r="I70" s="138">
        <v>20</v>
      </c>
      <c r="J70" s="138">
        <v>537</v>
      </c>
      <c r="K70" s="71">
        <f t="shared" si="2"/>
        <v>10740</v>
      </c>
      <c r="L70" s="361"/>
      <c r="M70" s="399"/>
      <c r="N70" s="370"/>
    </row>
    <row r="71" spans="2:14" ht="47.25" x14ac:dyDescent="0.25">
      <c r="B71" s="361"/>
      <c r="C71" s="361"/>
      <c r="D71" s="372"/>
      <c r="E71" s="363"/>
      <c r="F71" s="226" t="s">
        <v>111</v>
      </c>
      <c r="G71" s="373"/>
      <c r="H71" s="138" t="s">
        <v>68</v>
      </c>
      <c r="I71" s="138">
        <v>20</v>
      </c>
      <c r="J71" s="138">
        <v>537</v>
      </c>
      <c r="K71" s="71">
        <f t="shared" si="2"/>
        <v>10740</v>
      </c>
      <c r="L71" s="361"/>
      <c r="M71" s="399"/>
      <c r="N71" s="370"/>
    </row>
    <row r="72" spans="2:14" ht="47.25" x14ac:dyDescent="0.25">
      <c r="B72" s="361"/>
      <c r="C72" s="361"/>
      <c r="D72" s="372"/>
      <c r="E72" s="363"/>
      <c r="F72" s="226" t="s">
        <v>112</v>
      </c>
      <c r="G72" s="373"/>
      <c r="H72" s="138" t="s">
        <v>68</v>
      </c>
      <c r="I72" s="138">
        <v>20</v>
      </c>
      <c r="J72" s="138">
        <v>537</v>
      </c>
      <c r="K72" s="71">
        <f t="shared" si="2"/>
        <v>10740</v>
      </c>
      <c r="L72" s="361"/>
      <c r="M72" s="399"/>
      <c r="N72" s="370"/>
    </row>
    <row r="73" spans="2:14" ht="47.25" x14ac:dyDescent="0.25">
      <c r="B73" s="361"/>
      <c r="C73" s="361"/>
      <c r="D73" s="372"/>
      <c r="E73" s="363"/>
      <c r="F73" s="226" t="s">
        <v>114</v>
      </c>
      <c r="G73" s="373" t="s">
        <v>118</v>
      </c>
      <c r="H73" s="138" t="s">
        <v>68</v>
      </c>
      <c r="I73" s="138">
        <v>20</v>
      </c>
      <c r="J73" s="183">
        <v>472</v>
      </c>
      <c r="K73" s="71">
        <f t="shared" si="2"/>
        <v>9440</v>
      </c>
      <c r="L73" s="361"/>
      <c r="M73" s="399"/>
      <c r="N73" s="370"/>
    </row>
    <row r="74" spans="2:14" ht="47.25" x14ac:dyDescent="0.25">
      <c r="B74" s="361"/>
      <c r="C74" s="361"/>
      <c r="D74" s="372"/>
      <c r="E74" s="363"/>
      <c r="F74" s="226" t="s">
        <v>115</v>
      </c>
      <c r="G74" s="373"/>
      <c r="H74" s="138" t="s">
        <v>68</v>
      </c>
      <c r="I74" s="138">
        <v>20</v>
      </c>
      <c r="J74" s="138">
        <v>537</v>
      </c>
      <c r="K74" s="71">
        <f t="shared" si="2"/>
        <v>10740</v>
      </c>
      <c r="L74" s="361"/>
      <c r="M74" s="399"/>
      <c r="N74" s="370"/>
    </row>
    <row r="75" spans="2:14" ht="47.25" x14ac:dyDescent="0.25">
      <c r="B75" s="361"/>
      <c r="C75" s="361"/>
      <c r="D75" s="372"/>
      <c r="E75" s="363"/>
      <c r="F75" s="226" t="s">
        <v>116</v>
      </c>
      <c r="G75" s="373"/>
      <c r="H75" s="138" t="s">
        <v>68</v>
      </c>
      <c r="I75" s="138">
        <v>20</v>
      </c>
      <c r="J75" s="138">
        <v>537</v>
      </c>
      <c r="K75" s="71">
        <f t="shared" si="2"/>
        <v>10740</v>
      </c>
      <c r="L75" s="361"/>
      <c r="M75" s="399"/>
      <c r="N75" s="370"/>
    </row>
    <row r="76" spans="2:14" ht="47.25" x14ac:dyDescent="0.25">
      <c r="B76" s="361"/>
      <c r="C76" s="361"/>
      <c r="D76" s="372"/>
      <c r="E76" s="363"/>
      <c r="F76" s="226" t="s">
        <v>117</v>
      </c>
      <c r="G76" s="373"/>
      <c r="H76" s="138" t="s">
        <v>68</v>
      </c>
      <c r="I76" s="138">
        <v>20</v>
      </c>
      <c r="J76" s="138">
        <v>537</v>
      </c>
      <c r="K76" s="71">
        <f t="shared" si="2"/>
        <v>10740</v>
      </c>
      <c r="L76" s="362"/>
      <c r="M76" s="400"/>
      <c r="N76" s="371"/>
    </row>
    <row r="77" spans="2:14" ht="31.5" customHeight="1" x14ac:dyDescent="0.25">
      <c r="B77" s="361"/>
      <c r="C77" s="361"/>
      <c r="D77" s="372"/>
      <c r="E77" s="372" t="s">
        <v>119</v>
      </c>
      <c r="F77" s="224" t="s">
        <v>120</v>
      </c>
      <c r="G77" s="417" t="s">
        <v>124</v>
      </c>
      <c r="H77" s="32" t="s">
        <v>68</v>
      </c>
      <c r="I77" s="32">
        <v>27</v>
      </c>
      <c r="J77" s="16">
        <v>145</v>
      </c>
      <c r="K77" s="71">
        <f t="shared" si="2"/>
        <v>3915</v>
      </c>
      <c r="L77" s="360" t="s">
        <v>29</v>
      </c>
      <c r="M77" s="398">
        <f>K77+K78+K79+K80</f>
        <v>13665</v>
      </c>
      <c r="N77" s="369"/>
    </row>
    <row r="78" spans="2:14" ht="31.5" x14ac:dyDescent="0.25">
      <c r="B78" s="361"/>
      <c r="C78" s="361"/>
      <c r="D78" s="372"/>
      <c r="E78" s="372"/>
      <c r="F78" s="224" t="s">
        <v>121</v>
      </c>
      <c r="G78" s="417"/>
      <c r="H78" s="19" t="s">
        <v>68</v>
      </c>
      <c r="I78" s="19">
        <v>30</v>
      </c>
      <c r="J78" s="15">
        <v>128</v>
      </c>
      <c r="K78" s="71">
        <f t="shared" si="2"/>
        <v>3840</v>
      </c>
      <c r="L78" s="361"/>
      <c r="M78" s="399"/>
      <c r="N78" s="370"/>
    </row>
    <row r="79" spans="2:14" ht="31.5" x14ac:dyDescent="0.25">
      <c r="B79" s="361"/>
      <c r="C79" s="361"/>
      <c r="D79" s="372"/>
      <c r="E79" s="372"/>
      <c r="F79" s="224" t="s">
        <v>122</v>
      </c>
      <c r="G79" s="417"/>
      <c r="H79" s="19" t="s">
        <v>68</v>
      </c>
      <c r="I79" s="19">
        <v>30</v>
      </c>
      <c r="J79" s="15">
        <v>128</v>
      </c>
      <c r="K79" s="71">
        <f t="shared" si="2"/>
        <v>3840</v>
      </c>
      <c r="L79" s="361"/>
      <c r="M79" s="399"/>
      <c r="N79" s="370"/>
    </row>
    <row r="80" spans="2:14" ht="15.75" x14ac:dyDescent="0.25">
      <c r="B80" s="361"/>
      <c r="C80" s="361"/>
      <c r="D80" s="372"/>
      <c r="E80" s="372"/>
      <c r="F80" s="224" t="s">
        <v>123</v>
      </c>
      <c r="G80" s="417"/>
      <c r="H80" s="19" t="s">
        <v>68</v>
      </c>
      <c r="I80" s="19">
        <v>15</v>
      </c>
      <c r="J80" s="15">
        <v>138</v>
      </c>
      <c r="K80" s="71">
        <f t="shared" si="2"/>
        <v>2070</v>
      </c>
      <c r="L80" s="362"/>
      <c r="M80" s="400"/>
      <c r="N80" s="371"/>
    </row>
    <row r="81" spans="2:20" ht="31.5" x14ac:dyDescent="0.25">
      <c r="B81" s="361"/>
      <c r="C81" s="361"/>
      <c r="D81" s="372"/>
      <c r="E81" s="373" t="s">
        <v>125</v>
      </c>
      <c r="F81" s="224" t="s">
        <v>126</v>
      </c>
      <c r="G81" s="417" t="s">
        <v>129</v>
      </c>
      <c r="H81" s="19" t="s">
        <v>134</v>
      </c>
      <c r="I81" s="19">
        <v>10</v>
      </c>
      <c r="J81" s="16">
        <v>5583</v>
      </c>
      <c r="K81" s="71">
        <f t="shared" si="2"/>
        <v>55830</v>
      </c>
      <c r="L81" s="360" t="s">
        <v>29</v>
      </c>
      <c r="M81" s="447">
        <f>K81+K82+K83</f>
        <v>239060</v>
      </c>
      <c r="N81" s="369"/>
    </row>
    <row r="82" spans="2:20" ht="31.5" x14ac:dyDescent="0.25">
      <c r="B82" s="361"/>
      <c r="C82" s="361"/>
      <c r="D82" s="372"/>
      <c r="E82" s="373"/>
      <c r="F82" s="224" t="s">
        <v>127</v>
      </c>
      <c r="G82" s="417"/>
      <c r="H82" s="19" t="s">
        <v>134</v>
      </c>
      <c r="I82" s="19">
        <v>10</v>
      </c>
      <c r="J82" s="15">
        <v>12740</v>
      </c>
      <c r="K82" s="71">
        <f t="shared" si="2"/>
        <v>127400</v>
      </c>
      <c r="L82" s="361"/>
      <c r="M82" s="447"/>
      <c r="N82" s="370"/>
    </row>
    <row r="83" spans="2:20" ht="31.5" x14ac:dyDescent="0.25">
      <c r="B83" s="361"/>
      <c r="C83" s="361"/>
      <c r="D83" s="372"/>
      <c r="E83" s="373"/>
      <c r="F83" s="224" t="s">
        <v>128</v>
      </c>
      <c r="G83" s="417"/>
      <c r="H83" s="19" t="s">
        <v>134</v>
      </c>
      <c r="I83" s="19">
        <v>10</v>
      </c>
      <c r="J83" s="15">
        <v>5583</v>
      </c>
      <c r="K83" s="71">
        <f t="shared" si="2"/>
        <v>55830</v>
      </c>
      <c r="L83" s="362"/>
      <c r="M83" s="447"/>
      <c r="N83" s="371"/>
    </row>
    <row r="84" spans="2:20" ht="31.5" x14ac:dyDescent="0.25">
      <c r="B84" s="361"/>
      <c r="C84" s="361"/>
      <c r="D84" s="372"/>
      <c r="E84" s="373" t="s">
        <v>130</v>
      </c>
      <c r="F84" s="185" t="s">
        <v>230</v>
      </c>
      <c r="G84" s="373" t="s">
        <v>132</v>
      </c>
      <c r="H84" s="32" t="s">
        <v>23</v>
      </c>
      <c r="I84" s="32">
        <v>4</v>
      </c>
      <c r="J84" s="15">
        <v>49257</v>
      </c>
      <c r="K84" s="71">
        <f>I84*J84</f>
        <v>197028</v>
      </c>
      <c r="L84" s="360" t="s">
        <v>29</v>
      </c>
      <c r="M84" s="447">
        <f>K84+K85</f>
        <v>446628</v>
      </c>
      <c r="N84" s="369"/>
    </row>
    <row r="85" spans="2:20" ht="31.5" x14ac:dyDescent="0.25">
      <c r="B85" s="361"/>
      <c r="C85" s="361"/>
      <c r="D85" s="372"/>
      <c r="E85" s="373"/>
      <c r="F85" s="185" t="s">
        <v>131</v>
      </c>
      <c r="G85" s="373"/>
      <c r="H85" s="32" t="s">
        <v>23</v>
      </c>
      <c r="I85" s="32">
        <v>24</v>
      </c>
      <c r="J85" s="15">
        <v>10400</v>
      </c>
      <c r="K85" s="71">
        <f t="shared" ref="K85:K91" si="3">J85*I85</f>
        <v>249600</v>
      </c>
      <c r="L85" s="362"/>
      <c r="M85" s="447"/>
      <c r="N85" s="371"/>
    </row>
    <row r="86" spans="2:20" ht="15.75" x14ac:dyDescent="0.25">
      <c r="B86" s="361"/>
      <c r="C86" s="361"/>
      <c r="D86" s="372"/>
      <c r="E86" s="373" t="s">
        <v>133</v>
      </c>
      <c r="F86" s="185" t="s">
        <v>749</v>
      </c>
      <c r="G86" s="417" t="s">
        <v>83</v>
      </c>
      <c r="H86" s="30" t="s">
        <v>23</v>
      </c>
      <c r="I86" s="30">
        <v>2</v>
      </c>
      <c r="J86" s="15">
        <v>165000</v>
      </c>
      <c r="K86" s="71">
        <f t="shared" si="3"/>
        <v>330000</v>
      </c>
      <c r="L86" s="360" t="s">
        <v>29</v>
      </c>
      <c r="M86" s="447">
        <f>K86+K87</f>
        <v>368000</v>
      </c>
      <c r="N86" s="352" t="s">
        <v>888</v>
      </c>
    </row>
    <row r="87" spans="2:20" ht="15.75" x14ac:dyDescent="0.25">
      <c r="B87" s="361"/>
      <c r="C87" s="361"/>
      <c r="D87" s="372"/>
      <c r="E87" s="373"/>
      <c r="F87" s="185" t="s">
        <v>750</v>
      </c>
      <c r="G87" s="417"/>
      <c r="H87" s="30" t="s">
        <v>23</v>
      </c>
      <c r="I87" s="30">
        <v>1</v>
      </c>
      <c r="J87" s="15">
        <v>38000</v>
      </c>
      <c r="K87" s="125">
        <f t="shared" si="3"/>
        <v>38000</v>
      </c>
      <c r="L87" s="362"/>
      <c r="M87" s="447"/>
      <c r="N87" s="354"/>
    </row>
    <row r="88" spans="2:20" ht="15.75" x14ac:dyDescent="0.25">
      <c r="B88" s="360">
        <v>10</v>
      </c>
      <c r="C88" s="360"/>
      <c r="D88" s="352"/>
      <c r="E88" s="386" t="s">
        <v>931</v>
      </c>
      <c r="F88" s="111" t="s">
        <v>946</v>
      </c>
      <c r="G88" s="112" t="s">
        <v>932</v>
      </c>
      <c r="H88" s="105" t="s">
        <v>23</v>
      </c>
      <c r="I88" s="113">
        <v>1</v>
      </c>
      <c r="J88" s="85"/>
      <c r="K88" s="248">
        <f t="shared" si="3"/>
        <v>0</v>
      </c>
      <c r="L88" s="244"/>
      <c r="M88" s="249">
        <f>K88</f>
        <v>0</v>
      </c>
      <c r="N88" s="63"/>
    </row>
    <row r="89" spans="2:20" ht="15.75" x14ac:dyDescent="0.25">
      <c r="B89" s="362"/>
      <c r="C89" s="362"/>
      <c r="D89" s="354"/>
      <c r="E89" s="388"/>
      <c r="F89" s="186" t="s">
        <v>933</v>
      </c>
      <c r="G89" s="131" t="s">
        <v>932</v>
      </c>
      <c r="H89" s="30" t="s">
        <v>23</v>
      </c>
      <c r="I89" s="109">
        <v>1</v>
      </c>
      <c r="J89" s="10">
        <v>22000</v>
      </c>
      <c r="K89" s="128">
        <f t="shared" si="3"/>
        <v>22000</v>
      </c>
      <c r="L89" s="43"/>
      <c r="M89" s="44">
        <f>K89</f>
        <v>22000</v>
      </c>
      <c r="N89" s="63"/>
    </row>
    <row r="90" spans="2:20" ht="31.5" x14ac:dyDescent="0.25">
      <c r="B90" s="10">
        <v>11</v>
      </c>
      <c r="C90" s="10"/>
      <c r="D90" s="2"/>
      <c r="E90" s="109" t="s">
        <v>934</v>
      </c>
      <c r="F90" s="186" t="s">
        <v>935</v>
      </c>
      <c r="G90" s="109" t="s">
        <v>936</v>
      </c>
      <c r="H90" s="109" t="s">
        <v>383</v>
      </c>
      <c r="I90" s="109">
        <v>1</v>
      </c>
      <c r="J90" s="10">
        <v>24800</v>
      </c>
      <c r="K90" s="128">
        <f t="shared" si="3"/>
        <v>24800</v>
      </c>
      <c r="L90" s="43"/>
      <c r="M90" s="44">
        <f>K90</f>
        <v>24800</v>
      </c>
      <c r="N90" s="63"/>
    </row>
    <row r="91" spans="2:20" ht="36.75" customHeight="1" x14ac:dyDescent="0.25">
      <c r="B91" s="10">
        <v>12</v>
      </c>
      <c r="C91" s="10"/>
      <c r="D91" s="2"/>
      <c r="E91" s="109" t="s">
        <v>944</v>
      </c>
      <c r="F91" s="227" t="s">
        <v>945</v>
      </c>
      <c r="G91" s="109" t="s">
        <v>943</v>
      </c>
      <c r="H91" s="109" t="s">
        <v>383</v>
      </c>
      <c r="I91" s="109">
        <v>5</v>
      </c>
      <c r="J91" s="10">
        <v>1628</v>
      </c>
      <c r="K91" s="44">
        <f t="shared" si="3"/>
        <v>8140</v>
      </c>
      <c r="L91" s="43" t="s">
        <v>29</v>
      </c>
      <c r="M91" s="44">
        <f>K91</f>
        <v>8140</v>
      </c>
      <c r="N91" s="63"/>
    </row>
    <row r="92" spans="2:20" ht="18.75" x14ac:dyDescent="0.25">
      <c r="B92" s="435" t="s">
        <v>17</v>
      </c>
      <c r="C92" s="435"/>
      <c r="D92" s="435"/>
      <c r="E92" s="435"/>
      <c r="F92" s="448"/>
      <c r="G92" s="448"/>
      <c r="H92" s="45"/>
      <c r="I92" s="45"/>
      <c r="J92" s="46"/>
      <c r="K92" s="50">
        <f>SUM(K34:K91)</f>
        <v>4681747</v>
      </c>
      <c r="L92" s="46"/>
      <c r="M92" s="49">
        <f>SUM(M33:M91)</f>
        <v>5866719</v>
      </c>
      <c r="N92" s="46"/>
      <c r="Q92" s="243">
        <f>M92-K92</f>
        <v>1184972</v>
      </c>
      <c r="T92" s="243"/>
    </row>
    <row r="93" spans="2:20" ht="18.75" x14ac:dyDescent="0.3">
      <c r="B93" s="407" t="s">
        <v>16</v>
      </c>
      <c r="C93" s="407"/>
      <c r="D93" s="407"/>
      <c r="E93" s="407"/>
      <c r="F93" s="407"/>
      <c r="G93" s="407"/>
      <c r="H93" s="407"/>
      <c r="I93" s="407"/>
      <c r="J93" s="407"/>
      <c r="K93" s="407"/>
      <c r="L93" s="407"/>
      <c r="M93" s="407"/>
      <c r="N93" s="407"/>
    </row>
    <row r="94" spans="2:20" ht="104.25" customHeight="1" x14ac:dyDescent="0.25">
      <c r="B94" s="10">
        <v>13</v>
      </c>
      <c r="C94" s="10" t="s">
        <v>24</v>
      </c>
      <c r="D94" s="2" t="s">
        <v>138</v>
      </c>
      <c r="E94" s="2" t="s">
        <v>175</v>
      </c>
      <c r="F94" s="126" t="s">
        <v>37</v>
      </c>
      <c r="G94" s="71" t="s">
        <v>137</v>
      </c>
      <c r="H94" s="125"/>
      <c r="I94" s="125"/>
      <c r="J94" s="125"/>
      <c r="K94" s="125"/>
      <c r="L94" s="123" t="s">
        <v>136</v>
      </c>
      <c r="M94" s="96">
        <v>2742063</v>
      </c>
      <c r="N94" s="3"/>
    </row>
    <row r="95" spans="2:20" ht="31.5" x14ac:dyDescent="0.25">
      <c r="B95" s="360">
        <v>14</v>
      </c>
      <c r="C95" s="360" t="s">
        <v>24</v>
      </c>
      <c r="D95" s="372" t="s">
        <v>140</v>
      </c>
      <c r="E95" s="372" t="s">
        <v>176</v>
      </c>
      <c r="F95" s="208" t="s">
        <v>964</v>
      </c>
      <c r="G95" s="409" t="s">
        <v>139</v>
      </c>
      <c r="H95" s="71" t="s">
        <v>56</v>
      </c>
      <c r="I95" s="178">
        <v>6.3</v>
      </c>
      <c r="J95" s="71">
        <v>73600</v>
      </c>
      <c r="K95" s="71">
        <f t="shared" ref="K95:K146" si="4">J95*I95</f>
        <v>463680</v>
      </c>
      <c r="L95" s="398" t="s">
        <v>183</v>
      </c>
      <c r="M95" s="398">
        <f>SUM(K95:K99)</f>
        <v>618430</v>
      </c>
      <c r="N95" s="369"/>
    </row>
    <row r="96" spans="2:20" ht="15.75" x14ac:dyDescent="0.25">
      <c r="B96" s="361"/>
      <c r="C96" s="361"/>
      <c r="D96" s="372"/>
      <c r="E96" s="372"/>
      <c r="F96" s="228" t="s">
        <v>1220</v>
      </c>
      <c r="G96" s="409"/>
      <c r="H96" s="71" t="s">
        <v>46</v>
      </c>
      <c r="I96" s="71">
        <v>80</v>
      </c>
      <c r="J96" s="71">
        <v>68</v>
      </c>
      <c r="K96" s="71">
        <f t="shared" si="4"/>
        <v>5440</v>
      </c>
      <c r="L96" s="399"/>
      <c r="M96" s="399"/>
      <c r="N96" s="370"/>
    </row>
    <row r="97" spans="2:14" ht="31.5" x14ac:dyDescent="0.25">
      <c r="B97" s="361"/>
      <c r="C97" s="361"/>
      <c r="D97" s="372"/>
      <c r="E97" s="372"/>
      <c r="F97" s="229" t="s">
        <v>141</v>
      </c>
      <c r="G97" s="409"/>
      <c r="H97" s="71" t="s">
        <v>143</v>
      </c>
      <c r="I97" s="71">
        <v>15</v>
      </c>
      <c r="J97" s="71">
        <v>1950</v>
      </c>
      <c r="K97" s="71">
        <f t="shared" si="4"/>
        <v>29250</v>
      </c>
      <c r="L97" s="399"/>
      <c r="M97" s="399"/>
      <c r="N97" s="370"/>
    </row>
    <row r="98" spans="2:14" ht="15.75" x14ac:dyDescent="0.25">
      <c r="B98" s="361"/>
      <c r="C98" s="361"/>
      <c r="D98" s="372"/>
      <c r="E98" s="372"/>
      <c r="F98" s="229" t="s">
        <v>892</v>
      </c>
      <c r="G98" s="409"/>
      <c r="H98" s="71" t="s">
        <v>55</v>
      </c>
      <c r="I98" s="71">
        <v>100</v>
      </c>
      <c r="J98" s="71">
        <v>78</v>
      </c>
      <c r="K98" s="71">
        <f t="shared" si="4"/>
        <v>7800</v>
      </c>
      <c r="L98" s="399"/>
      <c r="M98" s="399"/>
      <c r="N98" s="370"/>
    </row>
    <row r="99" spans="2:14" ht="33.75" customHeight="1" x14ac:dyDescent="0.25">
      <c r="B99" s="362"/>
      <c r="C99" s="362"/>
      <c r="D99" s="372"/>
      <c r="E99" s="372"/>
      <c r="F99" s="78" t="s">
        <v>142</v>
      </c>
      <c r="G99" s="409"/>
      <c r="H99" s="71" t="s">
        <v>23</v>
      </c>
      <c r="I99" s="71">
        <v>10</v>
      </c>
      <c r="J99" s="71">
        <v>11226</v>
      </c>
      <c r="K99" s="71">
        <f t="shared" si="4"/>
        <v>112260</v>
      </c>
      <c r="L99" s="400"/>
      <c r="M99" s="400"/>
      <c r="N99" s="371"/>
    </row>
    <row r="100" spans="2:14" ht="41.25" customHeight="1" x14ac:dyDescent="0.25">
      <c r="B100" s="360">
        <v>15</v>
      </c>
      <c r="C100" s="360" t="s">
        <v>24</v>
      </c>
      <c r="D100" s="372" t="s">
        <v>144</v>
      </c>
      <c r="E100" s="372" t="s">
        <v>177</v>
      </c>
      <c r="F100" s="208" t="s">
        <v>965</v>
      </c>
      <c r="G100" s="409" t="s">
        <v>152</v>
      </c>
      <c r="H100" s="71" t="s">
        <v>56</v>
      </c>
      <c r="I100" s="178">
        <v>2.4</v>
      </c>
      <c r="J100" s="71">
        <v>68000</v>
      </c>
      <c r="K100" s="71">
        <f t="shared" si="4"/>
        <v>163200</v>
      </c>
      <c r="L100" s="398" t="s">
        <v>184</v>
      </c>
      <c r="M100" s="398">
        <f>SUM(K100:K110)</f>
        <v>406140</v>
      </c>
      <c r="N100" s="369"/>
    </row>
    <row r="101" spans="2:14" ht="31.5" x14ac:dyDescent="0.25">
      <c r="B101" s="361"/>
      <c r="C101" s="361"/>
      <c r="D101" s="372"/>
      <c r="E101" s="372"/>
      <c r="F101" s="208" t="s">
        <v>145</v>
      </c>
      <c r="G101" s="409"/>
      <c r="H101" s="71" t="s">
        <v>23</v>
      </c>
      <c r="I101" s="71">
        <v>2</v>
      </c>
      <c r="J101" s="71">
        <v>250</v>
      </c>
      <c r="K101" s="71">
        <f t="shared" si="4"/>
        <v>500</v>
      </c>
      <c r="L101" s="399"/>
      <c r="M101" s="399"/>
      <c r="N101" s="370"/>
    </row>
    <row r="102" spans="2:14" ht="31.5" x14ac:dyDescent="0.25">
      <c r="B102" s="361"/>
      <c r="C102" s="361"/>
      <c r="D102" s="372"/>
      <c r="E102" s="372"/>
      <c r="F102" s="208" t="s">
        <v>146</v>
      </c>
      <c r="G102" s="409"/>
      <c r="H102" s="71" t="s">
        <v>23</v>
      </c>
      <c r="I102" s="71">
        <v>12</v>
      </c>
      <c r="J102" s="71">
        <v>160</v>
      </c>
      <c r="K102" s="71">
        <f t="shared" si="4"/>
        <v>1920</v>
      </c>
      <c r="L102" s="399"/>
      <c r="M102" s="399"/>
      <c r="N102" s="370"/>
    </row>
    <row r="103" spans="2:14" ht="15.75" x14ac:dyDescent="0.25">
      <c r="B103" s="361"/>
      <c r="C103" s="361"/>
      <c r="D103" s="372"/>
      <c r="E103" s="372"/>
      <c r="F103" s="201" t="s">
        <v>147</v>
      </c>
      <c r="G103" s="409"/>
      <c r="H103" s="71" t="s">
        <v>23</v>
      </c>
      <c r="I103" s="71">
        <v>24</v>
      </c>
      <c r="J103" s="71">
        <v>1313</v>
      </c>
      <c r="K103" s="71">
        <f t="shared" si="4"/>
        <v>31512</v>
      </c>
      <c r="L103" s="399"/>
      <c r="M103" s="399"/>
      <c r="N103" s="370"/>
    </row>
    <row r="104" spans="2:14" ht="15.75" x14ac:dyDescent="0.25">
      <c r="B104" s="361"/>
      <c r="C104" s="361"/>
      <c r="D104" s="372"/>
      <c r="E104" s="372"/>
      <c r="F104" s="201" t="s">
        <v>1203</v>
      </c>
      <c r="G104" s="409"/>
      <c r="H104" s="71" t="s">
        <v>23</v>
      </c>
      <c r="I104" s="71">
        <v>12</v>
      </c>
      <c r="J104" s="71">
        <v>360</v>
      </c>
      <c r="K104" s="71">
        <f t="shared" si="4"/>
        <v>4320</v>
      </c>
      <c r="L104" s="399"/>
      <c r="M104" s="399"/>
      <c r="N104" s="370"/>
    </row>
    <row r="105" spans="2:14" ht="15.75" x14ac:dyDescent="0.25">
      <c r="B105" s="361"/>
      <c r="C105" s="361"/>
      <c r="D105" s="372"/>
      <c r="E105" s="372"/>
      <c r="F105" s="228" t="s">
        <v>148</v>
      </c>
      <c r="G105" s="409"/>
      <c r="H105" s="71" t="s">
        <v>23</v>
      </c>
      <c r="I105" s="71">
        <v>24</v>
      </c>
      <c r="J105" s="71">
        <v>95</v>
      </c>
      <c r="K105" s="71">
        <f t="shared" si="4"/>
        <v>2280</v>
      </c>
      <c r="L105" s="399"/>
      <c r="M105" s="399"/>
      <c r="N105" s="370"/>
    </row>
    <row r="106" spans="2:14" ht="15.75" x14ac:dyDescent="0.25">
      <c r="B106" s="361"/>
      <c r="C106" s="361"/>
      <c r="D106" s="372"/>
      <c r="E106" s="372"/>
      <c r="F106" s="228" t="s">
        <v>149</v>
      </c>
      <c r="G106" s="409"/>
      <c r="H106" s="71" t="s">
        <v>23</v>
      </c>
      <c r="I106" s="71">
        <v>12</v>
      </c>
      <c r="J106" s="71">
        <v>24</v>
      </c>
      <c r="K106" s="71">
        <f t="shared" si="4"/>
        <v>288</v>
      </c>
      <c r="L106" s="399"/>
      <c r="M106" s="399"/>
      <c r="N106" s="370"/>
    </row>
    <row r="107" spans="2:14" ht="15.75" x14ac:dyDescent="0.25">
      <c r="B107" s="361"/>
      <c r="C107" s="361"/>
      <c r="D107" s="372"/>
      <c r="E107" s="372"/>
      <c r="F107" s="228" t="s">
        <v>150</v>
      </c>
      <c r="G107" s="409"/>
      <c r="H107" s="71" t="s">
        <v>46</v>
      </c>
      <c r="I107" s="71">
        <v>50</v>
      </c>
      <c r="J107" s="71">
        <v>68</v>
      </c>
      <c r="K107" s="71">
        <f t="shared" si="4"/>
        <v>3400</v>
      </c>
      <c r="L107" s="399"/>
      <c r="M107" s="399"/>
      <c r="N107" s="370"/>
    </row>
    <row r="108" spans="2:14" ht="31.5" x14ac:dyDescent="0.25">
      <c r="B108" s="361"/>
      <c r="C108" s="361"/>
      <c r="D108" s="372"/>
      <c r="E108" s="372"/>
      <c r="F108" s="229" t="s">
        <v>141</v>
      </c>
      <c r="G108" s="409"/>
      <c r="H108" s="71" t="s">
        <v>143</v>
      </c>
      <c r="I108" s="71">
        <v>10</v>
      </c>
      <c r="J108" s="71">
        <v>1950</v>
      </c>
      <c r="K108" s="71">
        <f t="shared" si="4"/>
        <v>19500</v>
      </c>
      <c r="L108" s="399"/>
      <c r="M108" s="399"/>
      <c r="N108" s="370"/>
    </row>
    <row r="109" spans="2:14" ht="15.75" x14ac:dyDescent="0.25">
      <c r="B109" s="361"/>
      <c r="C109" s="361"/>
      <c r="D109" s="372"/>
      <c r="E109" s="372"/>
      <c r="F109" s="229" t="s">
        <v>892</v>
      </c>
      <c r="G109" s="409"/>
      <c r="H109" s="71" t="s">
        <v>55</v>
      </c>
      <c r="I109" s="71">
        <v>140</v>
      </c>
      <c r="J109" s="71">
        <v>78</v>
      </c>
      <c r="K109" s="71">
        <f t="shared" si="4"/>
        <v>10920</v>
      </c>
      <c r="L109" s="399"/>
      <c r="M109" s="399"/>
      <c r="N109" s="370"/>
    </row>
    <row r="110" spans="2:14" ht="15.75" x14ac:dyDescent="0.25">
      <c r="B110" s="362"/>
      <c r="C110" s="362"/>
      <c r="D110" s="372"/>
      <c r="E110" s="372"/>
      <c r="F110" s="127" t="s">
        <v>151</v>
      </c>
      <c r="G110" s="409"/>
      <c r="H110" s="71" t="s">
        <v>23</v>
      </c>
      <c r="I110" s="71">
        <v>20</v>
      </c>
      <c r="J110" s="71">
        <v>8415</v>
      </c>
      <c r="K110" s="71">
        <f t="shared" si="4"/>
        <v>168300</v>
      </c>
      <c r="L110" s="400"/>
      <c r="M110" s="400"/>
      <c r="N110" s="371"/>
    </row>
    <row r="111" spans="2:14" ht="31.5" x14ac:dyDescent="0.25">
      <c r="B111" s="360">
        <v>16</v>
      </c>
      <c r="C111" s="360" t="s">
        <v>24</v>
      </c>
      <c r="D111" s="353" t="s">
        <v>153</v>
      </c>
      <c r="E111" s="353" t="s">
        <v>178</v>
      </c>
      <c r="F111" s="209" t="s">
        <v>966</v>
      </c>
      <c r="G111" s="408" t="s">
        <v>157</v>
      </c>
      <c r="H111" s="133" t="s">
        <v>56</v>
      </c>
      <c r="I111" s="177">
        <v>0.3</v>
      </c>
      <c r="J111" s="71">
        <v>68000</v>
      </c>
      <c r="K111" s="71">
        <f t="shared" si="4"/>
        <v>20400</v>
      </c>
      <c r="L111" s="398" t="s">
        <v>184</v>
      </c>
      <c r="M111" s="398">
        <f>SUM(K111:K115)</f>
        <v>28426</v>
      </c>
      <c r="N111" s="352" t="s">
        <v>959</v>
      </c>
    </row>
    <row r="112" spans="2:14" ht="31.5" x14ac:dyDescent="0.25">
      <c r="B112" s="361"/>
      <c r="C112" s="361"/>
      <c r="D112" s="353"/>
      <c r="E112" s="353"/>
      <c r="F112" s="208" t="s">
        <v>154</v>
      </c>
      <c r="G112" s="408"/>
      <c r="H112" s="71" t="s">
        <v>23</v>
      </c>
      <c r="I112" s="71">
        <v>2</v>
      </c>
      <c r="J112" s="71">
        <v>203</v>
      </c>
      <c r="K112" s="71">
        <f t="shared" si="4"/>
        <v>406</v>
      </c>
      <c r="L112" s="399"/>
      <c r="M112" s="399"/>
      <c r="N112" s="353"/>
    </row>
    <row r="113" spans="2:17" ht="15.75" x14ac:dyDescent="0.25">
      <c r="B113" s="361"/>
      <c r="C113" s="361"/>
      <c r="D113" s="353"/>
      <c r="E113" s="353"/>
      <c r="F113" s="204" t="s">
        <v>155</v>
      </c>
      <c r="G113" s="408"/>
      <c r="H113" s="71" t="s">
        <v>23</v>
      </c>
      <c r="I113" s="71">
        <v>2</v>
      </c>
      <c r="J113" s="71">
        <f>2350</f>
        <v>2350</v>
      </c>
      <c r="K113" s="71">
        <f t="shared" si="4"/>
        <v>4700</v>
      </c>
      <c r="L113" s="399"/>
      <c r="M113" s="399"/>
      <c r="N113" s="353"/>
    </row>
    <row r="114" spans="2:17" ht="15.75" x14ac:dyDescent="0.25">
      <c r="B114" s="361"/>
      <c r="C114" s="361"/>
      <c r="D114" s="353"/>
      <c r="E114" s="353"/>
      <c r="F114" s="230" t="s">
        <v>892</v>
      </c>
      <c r="G114" s="408"/>
      <c r="H114" s="69" t="s">
        <v>55</v>
      </c>
      <c r="I114" s="69">
        <v>20</v>
      </c>
      <c r="J114" s="71">
        <v>78</v>
      </c>
      <c r="K114" s="71">
        <f t="shared" si="4"/>
        <v>1560</v>
      </c>
      <c r="L114" s="399"/>
      <c r="M114" s="399"/>
      <c r="N114" s="353"/>
    </row>
    <row r="115" spans="2:17" ht="30" customHeight="1" x14ac:dyDescent="0.25">
      <c r="B115" s="362"/>
      <c r="C115" s="362"/>
      <c r="D115" s="354"/>
      <c r="E115" s="353"/>
      <c r="F115" s="231" t="s">
        <v>156</v>
      </c>
      <c r="G115" s="408"/>
      <c r="H115" s="69" t="s">
        <v>46</v>
      </c>
      <c r="I115" s="69">
        <v>20</v>
      </c>
      <c r="J115" s="71">
        <v>68</v>
      </c>
      <c r="K115" s="71">
        <f t="shared" si="4"/>
        <v>1360</v>
      </c>
      <c r="L115" s="400"/>
      <c r="M115" s="400"/>
      <c r="N115" s="354"/>
      <c r="Q115" t="s">
        <v>751</v>
      </c>
    </row>
    <row r="116" spans="2:17" ht="31.5" x14ac:dyDescent="0.25">
      <c r="B116" s="360">
        <v>17</v>
      </c>
      <c r="C116" s="360" t="s">
        <v>24</v>
      </c>
      <c r="D116" s="352" t="s">
        <v>158</v>
      </c>
      <c r="E116" s="372" t="s">
        <v>179</v>
      </c>
      <c r="F116" s="208" t="s">
        <v>967</v>
      </c>
      <c r="G116" s="409" t="s">
        <v>159</v>
      </c>
      <c r="H116" s="71" t="s">
        <v>56</v>
      </c>
      <c r="I116" s="178">
        <v>1</v>
      </c>
      <c r="J116" s="71">
        <v>68000</v>
      </c>
      <c r="K116" s="71">
        <f t="shared" si="4"/>
        <v>68000</v>
      </c>
      <c r="L116" s="398" t="s">
        <v>184</v>
      </c>
      <c r="M116" s="398">
        <f>SUM(K116:K120)</f>
        <v>80706</v>
      </c>
      <c r="N116" s="352" t="s">
        <v>959</v>
      </c>
    </row>
    <row r="117" spans="2:17" ht="31.5" x14ac:dyDescent="0.25">
      <c r="B117" s="361"/>
      <c r="C117" s="361"/>
      <c r="D117" s="353"/>
      <c r="E117" s="372"/>
      <c r="F117" s="208" t="s">
        <v>154</v>
      </c>
      <c r="G117" s="409"/>
      <c r="H117" s="71" t="s">
        <v>23</v>
      </c>
      <c r="I117" s="71">
        <v>2</v>
      </c>
      <c r="J117" s="71">
        <v>203</v>
      </c>
      <c r="K117" s="71">
        <f t="shared" si="4"/>
        <v>406</v>
      </c>
      <c r="L117" s="399"/>
      <c r="M117" s="399"/>
      <c r="N117" s="353"/>
    </row>
    <row r="118" spans="2:17" ht="15.75" x14ac:dyDescent="0.25">
      <c r="B118" s="361"/>
      <c r="C118" s="361"/>
      <c r="D118" s="353"/>
      <c r="E118" s="372"/>
      <c r="F118" s="204" t="s">
        <v>155</v>
      </c>
      <c r="G118" s="409"/>
      <c r="H118" s="71" t="s">
        <v>23</v>
      </c>
      <c r="I118" s="71">
        <v>2</v>
      </c>
      <c r="J118" s="71">
        <f>2350</f>
        <v>2350</v>
      </c>
      <c r="K118" s="71">
        <f t="shared" si="4"/>
        <v>4700</v>
      </c>
      <c r="L118" s="399"/>
      <c r="M118" s="399"/>
      <c r="N118" s="353"/>
    </row>
    <row r="119" spans="2:17" ht="15.75" x14ac:dyDescent="0.25">
      <c r="B119" s="361"/>
      <c r="C119" s="361"/>
      <c r="D119" s="353"/>
      <c r="E119" s="372"/>
      <c r="F119" s="230" t="s">
        <v>892</v>
      </c>
      <c r="G119" s="409"/>
      <c r="H119" s="71" t="s">
        <v>55</v>
      </c>
      <c r="I119" s="71">
        <v>80</v>
      </c>
      <c r="J119" s="71">
        <v>78</v>
      </c>
      <c r="K119" s="71">
        <f t="shared" si="4"/>
        <v>6240</v>
      </c>
      <c r="L119" s="399"/>
      <c r="M119" s="399"/>
      <c r="N119" s="353"/>
    </row>
    <row r="120" spans="2:17" ht="15.75" x14ac:dyDescent="0.25">
      <c r="B120" s="362"/>
      <c r="C120" s="362"/>
      <c r="D120" s="354"/>
      <c r="E120" s="372"/>
      <c r="F120" s="228" t="s">
        <v>156</v>
      </c>
      <c r="G120" s="409"/>
      <c r="H120" s="71" t="s">
        <v>46</v>
      </c>
      <c r="I120" s="71">
        <v>20</v>
      </c>
      <c r="J120" s="71">
        <v>68</v>
      </c>
      <c r="K120" s="71">
        <f t="shared" si="4"/>
        <v>1360</v>
      </c>
      <c r="L120" s="400"/>
      <c r="M120" s="400"/>
      <c r="N120" s="354"/>
      <c r="Q120" t="s">
        <v>751</v>
      </c>
    </row>
    <row r="121" spans="2:17" ht="31.5" x14ac:dyDescent="0.25">
      <c r="B121" s="360">
        <v>18</v>
      </c>
      <c r="C121" s="360" t="s">
        <v>24</v>
      </c>
      <c r="D121" s="352" t="s">
        <v>160</v>
      </c>
      <c r="E121" s="353" t="s">
        <v>180</v>
      </c>
      <c r="F121" s="208" t="s">
        <v>968</v>
      </c>
      <c r="G121" s="409" t="s">
        <v>161</v>
      </c>
      <c r="H121" s="71" t="s">
        <v>56</v>
      </c>
      <c r="I121" s="178">
        <v>0.6</v>
      </c>
      <c r="J121" s="71">
        <v>68000</v>
      </c>
      <c r="K121" s="71">
        <f t="shared" si="4"/>
        <v>40800</v>
      </c>
      <c r="L121" s="398" t="s">
        <v>184</v>
      </c>
      <c r="M121" s="398">
        <f>SUM(K121:K125)</f>
        <v>50776</v>
      </c>
      <c r="N121" s="352" t="s">
        <v>959</v>
      </c>
    </row>
    <row r="122" spans="2:17" ht="31.5" x14ac:dyDescent="0.25">
      <c r="B122" s="361"/>
      <c r="C122" s="361"/>
      <c r="D122" s="353"/>
      <c r="E122" s="353"/>
      <c r="F122" s="208" t="s">
        <v>154</v>
      </c>
      <c r="G122" s="409"/>
      <c r="H122" s="71" t="s">
        <v>23</v>
      </c>
      <c r="I122" s="71">
        <v>2</v>
      </c>
      <c r="J122" s="71">
        <v>203</v>
      </c>
      <c r="K122" s="71">
        <f t="shared" si="4"/>
        <v>406</v>
      </c>
      <c r="L122" s="399"/>
      <c r="M122" s="399"/>
      <c r="N122" s="353"/>
    </row>
    <row r="123" spans="2:17" ht="15.75" x14ac:dyDescent="0.25">
      <c r="B123" s="361"/>
      <c r="C123" s="361"/>
      <c r="D123" s="353"/>
      <c r="E123" s="353"/>
      <c r="F123" s="204" t="s">
        <v>155</v>
      </c>
      <c r="G123" s="409"/>
      <c r="H123" s="71" t="s">
        <v>23</v>
      </c>
      <c r="I123" s="71">
        <v>2</v>
      </c>
      <c r="J123" s="71">
        <v>2350</v>
      </c>
      <c r="K123" s="71">
        <f t="shared" si="4"/>
        <v>4700</v>
      </c>
      <c r="L123" s="399"/>
      <c r="M123" s="399"/>
      <c r="N123" s="353"/>
    </row>
    <row r="124" spans="2:17" ht="15.75" x14ac:dyDescent="0.25">
      <c r="B124" s="361"/>
      <c r="C124" s="361"/>
      <c r="D124" s="353"/>
      <c r="E124" s="353"/>
      <c r="F124" s="230" t="s">
        <v>892</v>
      </c>
      <c r="G124" s="409"/>
      <c r="H124" s="71" t="s">
        <v>55</v>
      </c>
      <c r="I124" s="71">
        <v>45</v>
      </c>
      <c r="J124" s="71">
        <v>78</v>
      </c>
      <c r="K124" s="71">
        <f t="shared" si="4"/>
        <v>3510</v>
      </c>
      <c r="L124" s="399"/>
      <c r="M124" s="399"/>
      <c r="N124" s="353"/>
    </row>
    <row r="125" spans="2:17" ht="27" customHeight="1" x14ac:dyDescent="0.25">
      <c r="B125" s="362"/>
      <c r="C125" s="362"/>
      <c r="D125" s="354"/>
      <c r="E125" s="354"/>
      <c r="F125" s="228" t="s">
        <v>156</v>
      </c>
      <c r="G125" s="409"/>
      <c r="H125" s="71" t="s">
        <v>46</v>
      </c>
      <c r="I125" s="71">
        <v>20</v>
      </c>
      <c r="J125" s="71">
        <v>68</v>
      </c>
      <c r="K125" s="71">
        <f t="shared" si="4"/>
        <v>1360</v>
      </c>
      <c r="L125" s="400"/>
      <c r="M125" s="400"/>
      <c r="N125" s="354"/>
      <c r="Q125" t="s">
        <v>751</v>
      </c>
    </row>
    <row r="126" spans="2:17" ht="31.5" x14ac:dyDescent="0.25">
      <c r="B126" s="360">
        <v>19</v>
      </c>
      <c r="C126" s="360" t="s">
        <v>38</v>
      </c>
      <c r="D126" s="352" t="s">
        <v>162</v>
      </c>
      <c r="E126" s="352" t="s">
        <v>181</v>
      </c>
      <c r="F126" s="208" t="s">
        <v>969</v>
      </c>
      <c r="G126" s="418" t="s">
        <v>164</v>
      </c>
      <c r="H126" s="71" t="s">
        <v>56</v>
      </c>
      <c r="I126" s="179">
        <v>0.3</v>
      </c>
      <c r="J126" s="71">
        <v>68000</v>
      </c>
      <c r="K126" s="71">
        <f t="shared" si="4"/>
        <v>20400</v>
      </c>
      <c r="L126" s="398" t="s">
        <v>184</v>
      </c>
      <c r="M126" s="398">
        <f>SUM(K126:K131)</f>
        <v>111400</v>
      </c>
      <c r="N126" s="369"/>
    </row>
    <row r="127" spans="2:17" ht="31.5" x14ac:dyDescent="0.25">
      <c r="B127" s="361"/>
      <c r="C127" s="361"/>
      <c r="D127" s="353"/>
      <c r="E127" s="353"/>
      <c r="F127" s="208" t="s">
        <v>146</v>
      </c>
      <c r="G127" s="418"/>
      <c r="H127" s="71" t="s">
        <v>23</v>
      </c>
      <c r="I127" s="71">
        <v>2</v>
      </c>
      <c r="J127" s="71">
        <v>160</v>
      </c>
      <c r="K127" s="71">
        <f t="shared" si="4"/>
        <v>320</v>
      </c>
      <c r="L127" s="399"/>
      <c r="M127" s="399"/>
      <c r="N127" s="370"/>
    </row>
    <row r="128" spans="2:17" ht="15.75" x14ac:dyDescent="0.25">
      <c r="B128" s="361"/>
      <c r="C128" s="361"/>
      <c r="D128" s="353"/>
      <c r="E128" s="353"/>
      <c r="F128" s="228" t="s">
        <v>163</v>
      </c>
      <c r="G128" s="418"/>
      <c r="H128" s="71" t="s">
        <v>46</v>
      </c>
      <c r="I128" s="71">
        <v>10</v>
      </c>
      <c r="J128" s="71">
        <v>68</v>
      </c>
      <c r="K128" s="71">
        <f t="shared" si="4"/>
        <v>680</v>
      </c>
      <c r="L128" s="399"/>
      <c r="M128" s="399"/>
      <c r="N128" s="370"/>
    </row>
    <row r="129" spans="2:14" ht="15.75" x14ac:dyDescent="0.25">
      <c r="B129" s="361"/>
      <c r="C129" s="361"/>
      <c r="D129" s="353"/>
      <c r="E129" s="353"/>
      <c r="F129" s="230" t="s">
        <v>892</v>
      </c>
      <c r="G129" s="418"/>
      <c r="H129" s="71" t="s">
        <v>55</v>
      </c>
      <c r="I129" s="71">
        <v>25</v>
      </c>
      <c r="J129" s="71">
        <v>78</v>
      </c>
      <c r="K129" s="71">
        <f t="shared" si="4"/>
        <v>1950</v>
      </c>
      <c r="L129" s="399"/>
      <c r="M129" s="399"/>
      <c r="N129" s="370"/>
    </row>
    <row r="130" spans="2:14" ht="31.5" x14ac:dyDescent="0.25">
      <c r="B130" s="361"/>
      <c r="C130" s="361"/>
      <c r="D130" s="353"/>
      <c r="E130" s="353"/>
      <c r="F130" s="229" t="s">
        <v>141</v>
      </c>
      <c r="G130" s="418"/>
      <c r="H130" s="71" t="s">
        <v>143</v>
      </c>
      <c r="I130" s="71">
        <v>2</v>
      </c>
      <c r="J130" s="71">
        <v>1950</v>
      </c>
      <c r="K130" s="71">
        <f t="shared" si="4"/>
        <v>3900</v>
      </c>
      <c r="L130" s="399"/>
      <c r="M130" s="399"/>
      <c r="N130" s="370"/>
    </row>
    <row r="131" spans="2:14" ht="33" customHeight="1" x14ac:dyDescent="0.25">
      <c r="B131" s="362"/>
      <c r="C131" s="362"/>
      <c r="D131" s="354"/>
      <c r="E131" s="354"/>
      <c r="F131" s="127" t="s">
        <v>151</v>
      </c>
      <c r="G131" s="418"/>
      <c r="H131" s="71" t="s">
        <v>23</v>
      </c>
      <c r="I131" s="71">
        <v>10</v>
      </c>
      <c r="J131" s="71">
        <v>8415</v>
      </c>
      <c r="K131" s="71">
        <f t="shared" si="4"/>
        <v>84150</v>
      </c>
      <c r="L131" s="400"/>
      <c r="M131" s="400"/>
      <c r="N131" s="371"/>
    </row>
    <row r="132" spans="2:14" ht="31.5" x14ac:dyDescent="0.25">
      <c r="B132" s="360">
        <v>20</v>
      </c>
      <c r="C132" s="360" t="s">
        <v>38</v>
      </c>
      <c r="D132" s="372" t="s">
        <v>165</v>
      </c>
      <c r="E132" s="372" t="s">
        <v>182</v>
      </c>
      <c r="F132" s="208" t="s">
        <v>970</v>
      </c>
      <c r="G132" s="393" t="s">
        <v>170</v>
      </c>
      <c r="H132" s="123" t="s">
        <v>56</v>
      </c>
      <c r="I132" s="180">
        <v>2.6</v>
      </c>
      <c r="J132" s="71">
        <v>71500</v>
      </c>
      <c r="K132" s="71">
        <f t="shared" si="4"/>
        <v>185900</v>
      </c>
      <c r="L132" s="398" t="s">
        <v>184</v>
      </c>
      <c r="M132" s="398">
        <f>SUM(K132:K140)</f>
        <v>380284</v>
      </c>
      <c r="N132" s="369"/>
    </row>
    <row r="133" spans="2:14" ht="31.5" x14ac:dyDescent="0.25">
      <c r="B133" s="361"/>
      <c r="C133" s="361"/>
      <c r="D133" s="372"/>
      <c r="E133" s="372"/>
      <c r="F133" s="208" t="s">
        <v>166</v>
      </c>
      <c r="G133" s="408"/>
      <c r="H133" s="71" t="s">
        <v>23</v>
      </c>
      <c r="I133" s="71">
        <v>6</v>
      </c>
      <c r="J133" s="71">
        <v>2760</v>
      </c>
      <c r="K133" s="71">
        <f t="shared" si="4"/>
        <v>16560</v>
      </c>
      <c r="L133" s="399"/>
      <c r="M133" s="399"/>
      <c r="N133" s="370"/>
    </row>
    <row r="134" spans="2:14" ht="15.75" x14ac:dyDescent="0.25">
      <c r="B134" s="361"/>
      <c r="C134" s="361"/>
      <c r="D134" s="372"/>
      <c r="E134" s="372"/>
      <c r="F134" s="204" t="s">
        <v>167</v>
      </c>
      <c r="G134" s="408"/>
      <c r="H134" s="71" t="s">
        <v>23</v>
      </c>
      <c r="I134" s="71">
        <v>2</v>
      </c>
      <c r="J134" s="71">
        <v>8252</v>
      </c>
      <c r="K134" s="71">
        <f t="shared" si="4"/>
        <v>16504</v>
      </c>
      <c r="L134" s="399"/>
      <c r="M134" s="399"/>
      <c r="N134" s="370"/>
    </row>
    <row r="135" spans="2:14" ht="15.75" x14ac:dyDescent="0.25">
      <c r="B135" s="361"/>
      <c r="C135" s="361"/>
      <c r="D135" s="372"/>
      <c r="E135" s="372"/>
      <c r="F135" s="204" t="s">
        <v>168</v>
      </c>
      <c r="G135" s="408"/>
      <c r="H135" s="71" t="s">
        <v>23</v>
      </c>
      <c r="I135" s="71">
        <v>2</v>
      </c>
      <c r="J135" s="71">
        <v>553</v>
      </c>
      <c r="K135" s="71">
        <f t="shared" si="4"/>
        <v>1106</v>
      </c>
      <c r="L135" s="399"/>
      <c r="M135" s="399"/>
      <c r="N135" s="370"/>
    </row>
    <row r="136" spans="2:14" ht="15.75" x14ac:dyDescent="0.25">
      <c r="B136" s="361"/>
      <c r="C136" s="361"/>
      <c r="D136" s="372"/>
      <c r="E136" s="372"/>
      <c r="F136" s="229" t="s">
        <v>169</v>
      </c>
      <c r="G136" s="408"/>
      <c r="H136" s="71" t="s">
        <v>23</v>
      </c>
      <c r="I136" s="71">
        <v>2</v>
      </c>
      <c r="J136" s="71">
        <v>48</v>
      </c>
      <c r="K136" s="71">
        <f t="shared" si="4"/>
        <v>96</v>
      </c>
      <c r="L136" s="399"/>
      <c r="M136" s="399"/>
      <c r="N136" s="370"/>
    </row>
    <row r="137" spans="2:14" ht="15.75" x14ac:dyDescent="0.25">
      <c r="B137" s="361"/>
      <c r="C137" s="361"/>
      <c r="D137" s="372"/>
      <c r="E137" s="372"/>
      <c r="F137" s="228" t="s">
        <v>163</v>
      </c>
      <c r="G137" s="408"/>
      <c r="H137" s="71" t="s">
        <v>46</v>
      </c>
      <c r="I137" s="71">
        <v>10</v>
      </c>
      <c r="J137" s="71">
        <v>68</v>
      </c>
      <c r="K137" s="71">
        <f t="shared" si="4"/>
        <v>680</v>
      </c>
      <c r="L137" s="399"/>
      <c r="M137" s="399"/>
      <c r="N137" s="370"/>
    </row>
    <row r="138" spans="2:14" ht="15.75" x14ac:dyDescent="0.25">
      <c r="B138" s="361"/>
      <c r="C138" s="361"/>
      <c r="D138" s="372"/>
      <c r="E138" s="372"/>
      <c r="F138" s="230" t="s">
        <v>892</v>
      </c>
      <c r="G138" s="408"/>
      <c r="H138" s="71" t="s">
        <v>55</v>
      </c>
      <c r="I138" s="71">
        <v>67</v>
      </c>
      <c r="J138" s="71">
        <v>78</v>
      </c>
      <c r="K138" s="71">
        <f t="shared" si="4"/>
        <v>5226</v>
      </c>
      <c r="L138" s="399"/>
      <c r="M138" s="399"/>
      <c r="N138" s="370"/>
    </row>
    <row r="139" spans="2:14" ht="31.5" x14ac:dyDescent="0.25">
      <c r="B139" s="361"/>
      <c r="C139" s="361"/>
      <c r="D139" s="372"/>
      <c r="E139" s="372"/>
      <c r="F139" s="229" t="s">
        <v>141</v>
      </c>
      <c r="G139" s="408"/>
      <c r="H139" s="71" t="s">
        <v>143</v>
      </c>
      <c r="I139" s="71">
        <v>10</v>
      </c>
      <c r="J139" s="71">
        <v>1950</v>
      </c>
      <c r="K139" s="71">
        <f t="shared" si="4"/>
        <v>19500</v>
      </c>
      <c r="L139" s="399"/>
      <c r="M139" s="399"/>
      <c r="N139" s="370"/>
    </row>
    <row r="140" spans="2:14" ht="15.75" x14ac:dyDescent="0.25">
      <c r="B140" s="362"/>
      <c r="C140" s="362"/>
      <c r="D140" s="372"/>
      <c r="E140" s="372"/>
      <c r="F140" s="127" t="s">
        <v>142</v>
      </c>
      <c r="G140" s="394"/>
      <c r="H140" s="71" t="s">
        <v>23</v>
      </c>
      <c r="I140" s="71">
        <v>12</v>
      </c>
      <c r="J140" s="71">
        <v>11226</v>
      </c>
      <c r="K140" s="71">
        <f t="shared" si="4"/>
        <v>134712</v>
      </c>
      <c r="L140" s="400"/>
      <c r="M140" s="400"/>
      <c r="N140" s="371"/>
    </row>
    <row r="141" spans="2:14" ht="36" customHeight="1" x14ac:dyDescent="0.25">
      <c r="B141" s="360">
        <v>21</v>
      </c>
      <c r="C141" s="360" t="s">
        <v>38</v>
      </c>
      <c r="D141" s="353" t="s">
        <v>171</v>
      </c>
      <c r="E141" s="353" t="s">
        <v>173</v>
      </c>
      <c r="F141" s="202" t="s">
        <v>172</v>
      </c>
      <c r="G141" s="415" t="s">
        <v>174</v>
      </c>
      <c r="H141" s="181" t="s">
        <v>23</v>
      </c>
      <c r="I141" s="181">
        <v>2</v>
      </c>
      <c r="J141" s="71">
        <v>48827</v>
      </c>
      <c r="K141" s="71">
        <f t="shared" si="4"/>
        <v>97654</v>
      </c>
      <c r="L141" s="398" t="s">
        <v>184</v>
      </c>
      <c r="M141" s="398">
        <f>K141+K142</f>
        <v>98760</v>
      </c>
      <c r="N141" s="369"/>
    </row>
    <row r="142" spans="2:14" ht="47.25" customHeight="1" x14ac:dyDescent="0.25">
      <c r="B142" s="362"/>
      <c r="C142" s="362"/>
      <c r="D142" s="354"/>
      <c r="E142" s="354"/>
      <c r="F142" s="203" t="s">
        <v>404</v>
      </c>
      <c r="G142" s="416"/>
      <c r="H142" s="96" t="s">
        <v>23</v>
      </c>
      <c r="I142" s="96">
        <v>2</v>
      </c>
      <c r="J142" s="71">
        <v>553</v>
      </c>
      <c r="K142" s="71">
        <f t="shared" si="4"/>
        <v>1106</v>
      </c>
      <c r="L142" s="400"/>
      <c r="M142" s="400"/>
      <c r="N142" s="371"/>
    </row>
    <row r="143" spans="2:14" ht="47.25" customHeight="1" x14ac:dyDescent="0.25">
      <c r="B143" s="360">
        <v>22</v>
      </c>
      <c r="C143" s="360" t="s">
        <v>38</v>
      </c>
      <c r="D143" s="352"/>
      <c r="E143" s="352" t="s">
        <v>1261</v>
      </c>
      <c r="F143" s="78" t="s">
        <v>1259</v>
      </c>
      <c r="G143" s="96"/>
      <c r="H143" s="96" t="s">
        <v>23</v>
      </c>
      <c r="I143" s="96">
        <v>8</v>
      </c>
      <c r="J143" s="71">
        <v>1301</v>
      </c>
      <c r="K143" s="71">
        <f t="shared" si="4"/>
        <v>10408</v>
      </c>
      <c r="L143" s="222" t="s">
        <v>1033</v>
      </c>
      <c r="M143" s="222">
        <f>K143</f>
        <v>10408</v>
      </c>
      <c r="N143" s="122"/>
    </row>
    <row r="144" spans="2:14" ht="47.25" customHeight="1" x14ac:dyDescent="0.25">
      <c r="B144" s="361"/>
      <c r="C144" s="361"/>
      <c r="D144" s="353"/>
      <c r="E144" s="353"/>
      <c r="F144" s="78" t="s">
        <v>1260</v>
      </c>
      <c r="G144" s="96"/>
      <c r="H144" s="96" t="s">
        <v>1258</v>
      </c>
      <c r="I144" s="96">
        <v>240</v>
      </c>
      <c r="J144" s="71">
        <v>1383</v>
      </c>
      <c r="K144" s="71">
        <f t="shared" si="4"/>
        <v>331920</v>
      </c>
      <c r="L144" s="222" t="s">
        <v>1033</v>
      </c>
      <c r="M144" s="222">
        <f>K144</f>
        <v>331920</v>
      </c>
      <c r="N144" s="122"/>
    </row>
    <row r="145" spans="2:18" ht="47.25" customHeight="1" x14ac:dyDescent="0.25">
      <c r="B145" s="361"/>
      <c r="C145" s="361"/>
      <c r="D145" s="353"/>
      <c r="E145" s="353"/>
      <c r="F145" s="78" t="s">
        <v>1256</v>
      </c>
      <c r="G145" s="96"/>
      <c r="H145" s="96" t="s">
        <v>68</v>
      </c>
      <c r="I145" s="96">
        <v>150</v>
      </c>
      <c r="J145" s="71">
        <v>82</v>
      </c>
      <c r="K145" s="71">
        <f t="shared" si="4"/>
        <v>12300</v>
      </c>
      <c r="L145" s="222" t="s">
        <v>1033</v>
      </c>
      <c r="M145" s="222">
        <f>K145</f>
        <v>12300</v>
      </c>
      <c r="N145" s="122"/>
    </row>
    <row r="146" spans="2:18" ht="47.25" customHeight="1" x14ac:dyDescent="0.25">
      <c r="B146" s="362"/>
      <c r="C146" s="362"/>
      <c r="D146" s="354"/>
      <c r="E146" s="354"/>
      <c r="F146" s="78" t="s">
        <v>1257</v>
      </c>
      <c r="G146" s="96"/>
      <c r="H146" s="96" t="s">
        <v>46</v>
      </c>
      <c r="I146" s="96">
        <v>100</v>
      </c>
      <c r="J146" s="71">
        <v>68</v>
      </c>
      <c r="K146" s="71">
        <f t="shared" si="4"/>
        <v>6800</v>
      </c>
      <c r="L146" s="222" t="s">
        <v>1033</v>
      </c>
      <c r="M146" s="222">
        <f>K146</f>
        <v>6800</v>
      </c>
      <c r="N146" s="122"/>
    </row>
    <row r="147" spans="2:18" ht="18.75" x14ac:dyDescent="0.3">
      <c r="B147" s="395" t="s">
        <v>17</v>
      </c>
      <c r="C147" s="396"/>
      <c r="D147" s="396"/>
      <c r="E147" s="396"/>
      <c r="F147" s="396"/>
      <c r="G147" s="397"/>
      <c r="H147" s="39"/>
      <c r="I147" s="39"/>
      <c r="J147" s="39"/>
      <c r="K147" s="40">
        <f>SUM(K95:K146)</f>
        <v>2136350</v>
      </c>
      <c r="L147" s="39"/>
      <c r="M147" s="40">
        <f>SUM(M94:M146)</f>
        <v>4878413</v>
      </c>
      <c r="N147" s="39"/>
      <c r="R147" s="243">
        <f>M147-K147</f>
        <v>2742063</v>
      </c>
    </row>
    <row r="148" spans="2:18" ht="27" customHeight="1" x14ac:dyDescent="0.25">
      <c r="B148" s="414" t="s">
        <v>15</v>
      </c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</row>
    <row r="149" spans="2:18" ht="50.25" customHeight="1" x14ac:dyDescent="0.25">
      <c r="B149" s="33">
        <v>23</v>
      </c>
      <c r="C149" s="83" t="s">
        <v>38</v>
      </c>
      <c r="D149" s="83" t="s">
        <v>890</v>
      </c>
      <c r="E149" s="2" t="s">
        <v>185</v>
      </c>
      <c r="F149" s="24" t="s">
        <v>37</v>
      </c>
      <c r="G149" s="3"/>
      <c r="H149" s="3"/>
      <c r="I149" s="3"/>
      <c r="J149" s="3"/>
      <c r="K149" s="15"/>
      <c r="L149" s="32" t="s">
        <v>136</v>
      </c>
      <c r="M149" s="71">
        <v>1200000</v>
      </c>
      <c r="N149" s="8"/>
    </row>
    <row r="150" spans="2:18" ht="45" customHeight="1" x14ac:dyDescent="0.25">
      <c r="B150" s="10">
        <v>24</v>
      </c>
      <c r="C150" s="10" t="s">
        <v>38</v>
      </c>
      <c r="D150" s="10" t="s">
        <v>186</v>
      </c>
      <c r="E150" s="10" t="s">
        <v>187</v>
      </c>
      <c r="F150" s="24" t="s">
        <v>37</v>
      </c>
      <c r="G150" s="32" t="s">
        <v>188</v>
      </c>
      <c r="H150" s="3"/>
      <c r="I150" s="3"/>
      <c r="J150" s="3"/>
      <c r="K150" s="15"/>
      <c r="L150" s="32" t="s">
        <v>136</v>
      </c>
      <c r="M150" s="71">
        <v>525547</v>
      </c>
      <c r="N150" s="8"/>
    </row>
    <row r="151" spans="2:18" ht="15.75" x14ac:dyDescent="0.25">
      <c r="B151" s="360">
        <v>25</v>
      </c>
      <c r="C151" s="360" t="s">
        <v>38</v>
      </c>
      <c r="D151" s="373" t="s">
        <v>194</v>
      </c>
      <c r="E151" s="373" t="s">
        <v>195</v>
      </c>
      <c r="F151" s="214" t="s">
        <v>189</v>
      </c>
      <c r="G151" s="417" t="s">
        <v>196</v>
      </c>
      <c r="H151" s="15" t="s">
        <v>23</v>
      </c>
      <c r="I151" s="15">
        <v>20</v>
      </c>
      <c r="J151" s="10">
        <v>600</v>
      </c>
      <c r="K151" s="44">
        <f t="shared" ref="K151:K160" si="5">J151*I151</f>
        <v>12000</v>
      </c>
      <c r="L151" s="360" t="s">
        <v>184</v>
      </c>
      <c r="M151" s="398">
        <f>SUM(K151:K156)</f>
        <v>126871</v>
      </c>
      <c r="N151" s="369"/>
    </row>
    <row r="152" spans="2:18" ht="18" customHeight="1" x14ac:dyDescent="0.25">
      <c r="B152" s="361"/>
      <c r="C152" s="361"/>
      <c r="D152" s="373"/>
      <c r="E152" s="373"/>
      <c r="F152" s="215" t="s">
        <v>190</v>
      </c>
      <c r="G152" s="417"/>
      <c r="H152" s="15" t="s">
        <v>134</v>
      </c>
      <c r="I152" s="15">
        <v>300</v>
      </c>
      <c r="J152" s="10">
        <v>18</v>
      </c>
      <c r="K152" s="44">
        <f t="shared" si="5"/>
        <v>5400</v>
      </c>
      <c r="L152" s="361"/>
      <c r="M152" s="399"/>
      <c r="N152" s="370"/>
    </row>
    <row r="153" spans="2:18" ht="18" customHeight="1" x14ac:dyDescent="0.25">
      <c r="B153" s="361"/>
      <c r="C153" s="361"/>
      <c r="D153" s="373"/>
      <c r="E153" s="373"/>
      <c r="F153" s="216" t="s">
        <v>191</v>
      </c>
      <c r="G153" s="417"/>
      <c r="H153" s="15" t="s">
        <v>23</v>
      </c>
      <c r="I153" s="15">
        <v>20</v>
      </c>
      <c r="J153" s="10">
        <v>3941</v>
      </c>
      <c r="K153" s="44">
        <f t="shared" si="5"/>
        <v>78820</v>
      </c>
      <c r="L153" s="361"/>
      <c r="M153" s="399"/>
      <c r="N153" s="370"/>
    </row>
    <row r="154" spans="2:18" ht="15.75" x14ac:dyDescent="0.25">
      <c r="B154" s="361"/>
      <c r="C154" s="361"/>
      <c r="D154" s="373"/>
      <c r="E154" s="373"/>
      <c r="F154" s="214" t="s">
        <v>192</v>
      </c>
      <c r="G154" s="417"/>
      <c r="H154" s="15" t="s">
        <v>23</v>
      </c>
      <c r="I154" s="15">
        <v>3</v>
      </c>
      <c r="J154" s="10">
        <v>2057</v>
      </c>
      <c r="K154" s="44">
        <f t="shared" si="5"/>
        <v>6171</v>
      </c>
      <c r="L154" s="361"/>
      <c r="M154" s="399"/>
      <c r="N154" s="370"/>
    </row>
    <row r="155" spans="2:18" ht="38.25" customHeight="1" x14ac:dyDescent="0.25">
      <c r="B155" s="361"/>
      <c r="C155" s="361"/>
      <c r="D155" s="373"/>
      <c r="E155" s="373"/>
      <c r="F155" s="224" t="s">
        <v>193</v>
      </c>
      <c r="G155" s="417"/>
      <c r="H155" s="15" t="s">
        <v>23</v>
      </c>
      <c r="I155" s="15">
        <v>1</v>
      </c>
      <c r="J155" s="10">
        <v>16680</v>
      </c>
      <c r="K155" s="44">
        <f t="shared" si="5"/>
        <v>16680</v>
      </c>
      <c r="L155" s="361"/>
      <c r="M155" s="399"/>
      <c r="N155" s="370"/>
    </row>
    <row r="156" spans="2:18" ht="15.75" x14ac:dyDescent="0.25">
      <c r="B156" s="362"/>
      <c r="C156" s="362"/>
      <c r="D156" s="373"/>
      <c r="E156" s="373"/>
      <c r="F156" s="224" t="s">
        <v>400</v>
      </c>
      <c r="G156" s="417"/>
      <c r="H156" s="15" t="s">
        <v>46</v>
      </c>
      <c r="I156" s="15">
        <v>40</v>
      </c>
      <c r="J156" s="10">
        <f>195</f>
        <v>195</v>
      </c>
      <c r="K156" s="44">
        <f t="shared" si="5"/>
        <v>7800</v>
      </c>
      <c r="L156" s="362"/>
      <c r="M156" s="400"/>
      <c r="N156" s="371"/>
    </row>
    <row r="157" spans="2:18" ht="37.5" customHeight="1" x14ac:dyDescent="0.25">
      <c r="B157" s="363">
        <v>26</v>
      </c>
      <c r="C157" s="363" t="s">
        <v>38</v>
      </c>
      <c r="D157" s="16" t="s">
        <v>197</v>
      </c>
      <c r="E157" s="132" t="s">
        <v>198</v>
      </c>
      <c r="F157" s="186" t="s">
        <v>207</v>
      </c>
      <c r="G157" s="364" t="s">
        <v>212</v>
      </c>
      <c r="H157" s="16" t="s">
        <v>23</v>
      </c>
      <c r="I157" s="16">
        <v>2</v>
      </c>
      <c r="J157" s="43">
        <v>299047</v>
      </c>
      <c r="K157" s="44">
        <f t="shared" si="5"/>
        <v>598094</v>
      </c>
      <c r="L157" s="360" t="s">
        <v>184</v>
      </c>
      <c r="M157" s="398">
        <f>SUM(K157:K163)</f>
        <v>3717276</v>
      </c>
      <c r="N157" s="360"/>
    </row>
    <row r="158" spans="2:18" ht="31.5" x14ac:dyDescent="0.25">
      <c r="B158" s="363"/>
      <c r="C158" s="363"/>
      <c r="D158" s="109" t="s">
        <v>199</v>
      </c>
      <c r="E158" s="32" t="s">
        <v>198</v>
      </c>
      <c r="F158" s="187" t="s">
        <v>208</v>
      </c>
      <c r="G158" s="364"/>
      <c r="H158" s="15" t="s">
        <v>23</v>
      </c>
      <c r="I158" s="15">
        <v>1</v>
      </c>
      <c r="J158" s="10">
        <v>113386</v>
      </c>
      <c r="K158" s="44">
        <f t="shared" si="5"/>
        <v>113386</v>
      </c>
      <c r="L158" s="361"/>
      <c r="M158" s="399"/>
      <c r="N158" s="361"/>
    </row>
    <row r="159" spans="2:18" ht="47.25" x14ac:dyDescent="0.25">
      <c r="B159" s="363"/>
      <c r="C159" s="363"/>
      <c r="D159" s="109" t="s">
        <v>204</v>
      </c>
      <c r="E159" s="32" t="s">
        <v>203</v>
      </c>
      <c r="F159" s="187" t="s">
        <v>209</v>
      </c>
      <c r="G159" s="364"/>
      <c r="H159" s="15" t="s">
        <v>23</v>
      </c>
      <c r="I159" s="15">
        <v>2</v>
      </c>
      <c r="J159" s="15">
        <v>4853</v>
      </c>
      <c r="K159" s="71">
        <f t="shared" si="5"/>
        <v>9706</v>
      </c>
      <c r="L159" s="361"/>
      <c r="M159" s="399"/>
      <c r="N159" s="361"/>
    </row>
    <row r="160" spans="2:18" ht="47.25" x14ac:dyDescent="0.25">
      <c r="B160" s="363"/>
      <c r="C160" s="363"/>
      <c r="D160" s="109" t="s">
        <v>205</v>
      </c>
      <c r="E160" s="32" t="s">
        <v>206</v>
      </c>
      <c r="F160" s="187" t="s">
        <v>836</v>
      </c>
      <c r="G160" s="364"/>
      <c r="H160" s="15" t="s">
        <v>23</v>
      </c>
      <c r="I160" s="15">
        <v>1</v>
      </c>
      <c r="J160" s="15">
        <v>72790</v>
      </c>
      <c r="K160" s="71">
        <f t="shared" si="5"/>
        <v>72790</v>
      </c>
      <c r="L160" s="361"/>
      <c r="M160" s="399"/>
      <c r="N160" s="361"/>
    </row>
    <row r="161" spans="2:14" ht="52.5" customHeight="1" x14ac:dyDescent="0.25">
      <c r="B161" s="363"/>
      <c r="C161" s="363"/>
      <c r="D161" s="109" t="s">
        <v>200</v>
      </c>
      <c r="E161" s="32" t="s">
        <v>198</v>
      </c>
      <c r="F161" s="188" t="s">
        <v>913</v>
      </c>
      <c r="G161" s="364"/>
      <c r="H161" s="15" t="s">
        <v>23</v>
      </c>
      <c r="I161" s="15">
        <v>1</v>
      </c>
      <c r="J161" s="42">
        <v>1557660</v>
      </c>
      <c r="K161" s="44">
        <f>J161*I161</f>
        <v>1557660</v>
      </c>
      <c r="L161" s="361"/>
      <c r="M161" s="399"/>
      <c r="N161" s="361"/>
    </row>
    <row r="162" spans="2:14" ht="52.5" customHeight="1" x14ac:dyDescent="0.25">
      <c r="B162" s="363"/>
      <c r="C162" s="363"/>
      <c r="D162" s="109" t="s">
        <v>201</v>
      </c>
      <c r="E162" s="32" t="s">
        <v>198</v>
      </c>
      <c r="F162" s="188" t="s">
        <v>210</v>
      </c>
      <c r="G162" s="364"/>
      <c r="H162" s="15" t="s">
        <v>23</v>
      </c>
      <c r="I162" s="15">
        <v>1</v>
      </c>
      <c r="J162" s="42">
        <v>1219660</v>
      </c>
      <c r="K162" s="44">
        <f>J162*I162</f>
        <v>1219660</v>
      </c>
      <c r="L162" s="361"/>
      <c r="M162" s="399"/>
      <c r="N162" s="361"/>
    </row>
    <row r="163" spans="2:14" ht="31.5" x14ac:dyDescent="0.25">
      <c r="B163" s="363"/>
      <c r="C163" s="363"/>
      <c r="D163" s="109" t="s">
        <v>202</v>
      </c>
      <c r="E163" s="32" t="s">
        <v>198</v>
      </c>
      <c r="F163" s="188" t="s">
        <v>211</v>
      </c>
      <c r="G163" s="364"/>
      <c r="H163" s="15" t="s">
        <v>23</v>
      </c>
      <c r="I163" s="15">
        <v>2</v>
      </c>
      <c r="J163" s="42">
        <v>72990</v>
      </c>
      <c r="K163" s="44">
        <f>J163*I163</f>
        <v>145980</v>
      </c>
      <c r="L163" s="361"/>
      <c r="M163" s="399"/>
      <c r="N163" s="362"/>
    </row>
    <row r="164" spans="2:14" ht="26.25" customHeight="1" x14ac:dyDescent="0.25">
      <c r="B164" s="363">
        <v>27</v>
      </c>
      <c r="C164" s="361" t="s">
        <v>38</v>
      </c>
      <c r="D164" s="454" t="s">
        <v>856</v>
      </c>
      <c r="E164" s="454" t="s">
        <v>857</v>
      </c>
      <c r="F164" s="189" t="s">
        <v>858</v>
      </c>
      <c r="G164" s="410"/>
      <c r="H164" s="114" t="s">
        <v>23</v>
      </c>
      <c r="I164" s="114">
        <v>1</v>
      </c>
      <c r="J164" s="360">
        <v>767207</v>
      </c>
      <c r="K164" s="398">
        <f>J164*I164</f>
        <v>767207</v>
      </c>
      <c r="L164" s="360" t="s">
        <v>416</v>
      </c>
      <c r="M164" s="398">
        <f>K164</f>
        <v>767207</v>
      </c>
      <c r="N164" s="360" t="s">
        <v>889</v>
      </c>
    </row>
    <row r="165" spans="2:14" ht="26.25" customHeight="1" x14ac:dyDescent="0.25">
      <c r="B165" s="363"/>
      <c r="C165" s="362"/>
      <c r="D165" s="454"/>
      <c r="E165" s="454"/>
      <c r="F165" s="189" t="s">
        <v>859</v>
      </c>
      <c r="G165" s="411"/>
      <c r="H165" s="114" t="s">
        <v>23</v>
      </c>
      <c r="I165" s="114">
        <v>1</v>
      </c>
      <c r="J165" s="362"/>
      <c r="K165" s="400"/>
      <c r="L165" s="362"/>
      <c r="M165" s="400"/>
      <c r="N165" s="362"/>
    </row>
    <row r="166" spans="2:14" ht="47.25" customHeight="1" x14ac:dyDescent="0.25">
      <c r="B166" s="360">
        <v>28</v>
      </c>
      <c r="C166" s="360" t="s">
        <v>38</v>
      </c>
      <c r="D166" s="355" t="s">
        <v>837</v>
      </c>
      <c r="E166" s="32" t="s">
        <v>838</v>
      </c>
      <c r="F166" s="217" t="s">
        <v>839</v>
      </c>
      <c r="G166" s="6"/>
      <c r="H166" s="15" t="s">
        <v>383</v>
      </c>
      <c r="I166" s="15">
        <v>2</v>
      </c>
      <c r="J166" s="43">
        <v>1907</v>
      </c>
      <c r="K166" s="44">
        <f>J166*I166</f>
        <v>3814</v>
      </c>
      <c r="L166" s="43" t="s">
        <v>184</v>
      </c>
      <c r="M166" s="398">
        <f>SUM(K166:K191)</f>
        <v>447371</v>
      </c>
      <c r="N166" s="64"/>
    </row>
    <row r="167" spans="2:14" ht="47.25" customHeight="1" x14ac:dyDescent="0.25">
      <c r="B167" s="361"/>
      <c r="C167" s="361"/>
      <c r="D167" s="364"/>
      <c r="E167" s="32" t="s">
        <v>838</v>
      </c>
      <c r="F167" s="217" t="s">
        <v>840</v>
      </c>
      <c r="G167" s="6"/>
      <c r="H167" s="15" t="s">
        <v>383</v>
      </c>
      <c r="I167" s="15">
        <v>4</v>
      </c>
      <c r="J167" s="43">
        <v>3009</v>
      </c>
      <c r="K167" s="44">
        <f t="shared" ref="K167:K191" si="6">J167*I167</f>
        <v>12036</v>
      </c>
      <c r="L167" s="43" t="s">
        <v>184</v>
      </c>
      <c r="M167" s="399"/>
      <c r="N167" s="64"/>
    </row>
    <row r="168" spans="2:14" ht="47.25" customHeight="1" x14ac:dyDescent="0.25">
      <c r="B168" s="361"/>
      <c r="C168" s="361"/>
      <c r="D168" s="364"/>
      <c r="E168" s="32" t="s">
        <v>841</v>
      </c>
      <c r="F168" s="217" t="s">
        <v>842</v>
      </c>
      <c r="G168" s="6"/>
      <c r="H168" s="15" t="s">
        <v>383</v>
      </c>
      <c r="I168" s="15">
        <v>2</v>
      </c>
      <c r="J168" s="43">
        <v>3828</v>
      </c>
      <c r="K168" s="44">
        <f t="shared" si="6"/>
        <v>7656</v>
      </c>
      <c r="L168" s="43" t="s">
        <v>184</v>
      </c>
      <c r="M168" s="399"/>
      <c r="N168" s="64"/>
    </row>
    <row r="169" spans="2:14" ht="47.25" customHeight="1" x14ac:dyDescent="0.25">
      <c r="B169" s="361"/>
      <c r="C169" s="361"/>
      <c r="D169" s="364"/>
      <c r="E169" s="32" t="s">
        <v>841</v>
      </c>
      <c r="F169" s="217" t="s">
        <v>843</v>
      </c>
      <c r="G169" s="6"/>
      <c r="H169" s="15" t="s">
        <v>383</v>
      </c>
      <c r="I169" s="15">
        <v>4</v>
      </c>
      <c r="J169" s="43">
        <v>6432</v>
      </c>
      <c r="K169" s="44">
        <f t="shared" si="6"/>
        <v>25728</v>
      </c>
      <c r="L169" s="43" t="s">
        <v>184</v>
      </c>
      <c r="M169" s="399"/>
      <c r="N169" s="64"/>
    </row>
    <row r="170" spans="2:14" ht="47.25" customHeight="1" x14ac:dyDescent="0.25">
      <c r="B170" s="361"/>
      <c r="C170" s="361"/>
      <c r="D170" s="364"/>
      <c r="E170" s="32" t="s">
        <v>838</v>
      </c>
      <c r="F170" s="217" t="s">
        <v>844</v>
      </c>
      <c r="G170" s="6"/>
      <c r="H170" s="15" t="s">
        <v>383</v>
      </c>
      <c r="I170" s="15">
        <v>2</v>
      </c>
      <c r="J170" s="43">
        <v>5813</v>
      </c>
      <c r="K170" s="44">
        <f t="shared" si="6"/>
        <v>11626</v>
      </c>
      <c r="L170" s="43" t="s">
        <v>184</v>
      </c>
      <c r="M170" s="399"/>
      <c r="N170" s="64"/>
    </row>
    <row r="171" spans="2:14" ht="47.25" customHeight="1" x14ac:dyDescent="0.25">
      <c r="B171" s="361"/>
      <c r="C171" s="361"/>
      <c r="D171" s="364"/>
      <c r="E171" s="32" t="s">
        <v>838</v>
      </c>
      <c r="F171" s="217" t="s">
        <v>845</v>
      </c>
      <c r="G171" s="6"/>
      <c r="H171" s="15" t="s">
        <v>383</v>
      </c>
      <c r="I171" s="15">
        <v>6</v>
      </c>
      <c r="J171" s="43">
        <v>3750</v>
      </c>
      <c r="K171" s="44">
        <f t="shared" si="6"/>
        <v>22500</v>
      </c>
      <c r="L171" s="43" t="s">
        <v>184</v>
      </c>
      <c r="M171" s="399"/>
      <c r="N171" s="64"/>
    </row>
    <row r="172" spans="2:14" ht="47.25" customHeight="1" x14ac:dyDescent="0.25">
      <c r="B172" s="361"/>
      <c r="C172" s="361"/>
      <c r="D172" s="364"/>
      <c r="E172" s="30" t="s">
        <v>838</v>
      </c>
      <c r="F172" s="215" t="s">
        <v>846</v>
      </c>
      <c r="G172" s="6"/>
      <c r="H172" s="15" t="s">
        <v>383</v>
      </c>
      <c r="I172" s="15">
        <v>2</v>
      </c>
      <c r="J172" s="43">
        <v>4631</v>
      </c>
      <c r="K172" s="44">
        <f t="shared" si="6"/>
        <v>9262</v>
      </c>
      <c r="L172" s="43" t="s">
        <v>184</v>
      </c>
      <c r="M172" s="399"/>
      <c r="N172" s="64"/>
    </row>
    <row r="173" spans="2:14" ht="47.25" customHeight="1" x14ac:dyDescent="0.25">
      <c r="B173" s="361"/>
      <c r="C173" s="361"/>
      <c r="D173" s="364"/>
      <c r="E173" s="32" t="s">
        <v>841</v>
      </c>
      <c r="F173" s="215" t="s">
        <v>847</v>
      </c>
      <c r="G173" s="6"/>
      <c r="H173" s="15" t="s">
        <v>383</v>
      </c>
      <c r="I173" s="15">
        <v>2</v>
      </c>
      <c r="J173" s="43">
        <v>11521</v>
      </c>
      <c r="K173" s="44">
        <f t="shared" si="6"/>
        <v>23042</v>
      </c>
      <c r="L173" s="43" t="s">
        <v>184</v>
      </c>
      <c r="M173" s="399"/>
      <c r="N173" s="64"/>
    </row>
    <row r="174" spans="2:14" ht="47.25" customHeight="1" x14ac:dyDescent="0.25">
      <c r="B174" s="362"/>
      <c r="C174" s="362"/>
      <c r="D174" s="365"/>
      <c r="E174" s="30" t="s">
        <v>841</v>
      </c>
      <c r="F174" s="215" t="s">
        <v>848</v>
      </c>
      <c r="G174" s="6"/>
      <c r="H174" s="15" t="s">
        <v>383</v>
      </c>
      <c r="I174" s="15">
        <v>4</v>
      </c>
      <c r="J174" s="43">
        <v>10620</v>
      </c>
      <c r="K174" s="44">
        <f t="shared" si="6"/>
        <v>42480</v>
      </c>
      <c r="L174" s="43" t="s">
        <v>184</v>
      </c>
      <c r="M174" s="399"/>
      <c r="N174" s="64"/>
    </row>
    <row r="175" spans="2:14" ht="47.25" customHeight="1" x14ac:dyDescent="0.25">
      <c r="B175" s="360">
        <v>29</v>
      </c>
      <c r="C175" s="360" t="s">
        <v>38</v>
      </c>
      <c r="D175" s="386" t="s">
        <v>837</v>
      </c>
      <c r="E175" s="386" t="s">
        <v>849</v>
      </c>
      <c r="F175" s="215" t="s">
        <v>850</v>
      </c>
      <c r="G175" s="6"/>
      <c r="H175" s="15" t="s">
        <v>851</v>
      </c>
      <c r="I175" s="15">
        <v>12</v>
      </c>
      <c r="J175" s="43">
        <v>17</v>
      </c>
      <c r="K175" s="44">
        <f t="shared" si="6"/>
        <v>204</v>
      </c>
      <c r="L175" s="43" t="s">
        <v>184</v>
      </c>
      <c r="M175" s="399"/>
      <c r="N175" s="64"/>
    </row>
    <row r="176" spans="2:14" ht="47.25" customHeight="1" x14ac:dyDescent="0.25">
      <c r="B176" s="361"/>
      <c r="C176" s="361"/>
      <c r="D176" s="387"/>
      <c r="E176" s="387"/>
      <c r="F176" s="215" t="s">
        <v>852</v>
      </c>
      <c r="G176" s="6"/>
      <c r="H176" s="15" t="s">
        <v>851</v>
      </c>
      <c r="I176" s="15">
        <v>10</v>
      </c>
      <c r="J176" s="43">
        <v>21</v>
      </c>
      <c r="K176" s="44">
        <f t="shared" si="6"/>
        <v>210</v>
      </c>
      <c r="L176" s="43" t="s">
        <v>184</v>
      </c>
      <c r="M176" s="399"/>
      <c r="N176" s="64"/>
    </row>
    <row r="177" spans="2:18" ht="47.25" customHeight="1" x14ac:dyDescent="0.25">
      <c r="B177" s="361"/>
      <c r="C177" s="361"/>
      <c r="D177" s="387"/>
      <c r="E177" s="387"/>
      <c r="F177" s="215" t="s">
        <v>853</v>
      </c>
      <c r="G177" s="6"/>
      <c r="H177" s="15" t="s">
        <v>851</v>
      </c>
      <c r="I177" s="15">
        <v>8</v>
      </c>
      <c r="J177" s="43">
        <v>27</v>
      </c>
      <c r="K177" s="44">
        <f t="shared" si="6"/>
        <v>216</v>
      </c>
      <c r="L177" s="43" t="s">
        <v>184</v>
      </c>
      <c r="M177" s="399"/>
      <c r="N177" s="64"/>
    </row>
    <row r="178" spans="2:18" ht="47.25" customHeight="1" x14ac:dyDescent="0.25">
      <c r="B178" s="361"/>
      <c r="C178" s="361"/>
      <c r="D178" s="387"/>
      <c r="E178" s="387"/>
      <c r="F178" s="215" t="s">
        <v>854</v>
      </c>
      <c r="G178" s="6"/>
      <c r="H178" s="15" t="s">
        <v>851</v>
      </c>
      <c r="I178" s="15">
        <v>4</v>
      </c>
      <c r="J178" s="43">
        <v>31</v>
      </c>
      <c r="K178" s="44">
        <f t="shared" si="6"/>
        <v>124</v>
      </c>
      <c r="L178" s="43" t="s">
        <v>184</v>
      </c>
      <c r="M178" s="399"/>
      <c r="N178" s="64"/>
    </row>
    <row r="179" spans="2:18" ht="47.25" customHeight="1" x14ac:dyDescent="0.25">
      <c r="B179" s="362"/>
      <c r="C179" s="362"/>
      <c r="D179" s="388"/>
      <c r="E179" s="388"/>
      <c r="F179" s="215" t="s">
        <v>855</v>
      </c>
      <c r="G179" s="6"/>
      <c r="H179" s="15" t="s">
        <v>851</v>
      </c>
      <c r="I179" s="15">
        <v>4</v>
      </c>
      <c r="J179" s="43">
        <v>41</v>
      </c>
      <c r="K179" s="44">
        <f t="shared" si="6"/>
        <v>164</v>
      </c>
      <c r="L179" s="43" t="s">
        <v>184</v>
      </c>
      <c r="M179" s="399"/>
      <c r="N179" s="64"/>
    </row>
    <row r="180" spans="2:18" ht="47.25" customHeight="1" x14ac:dyDescent="0.25">
      <c r="B180" s="360">
        <v>30</v>
      </c>
      <c r="C180" s="360" t="s">
        <v>38</v>
      </c>
      <c r="D180" s="386" t="s">
        <v>860</v>
      </c>
      <c r="E180" s="30" t="s">
        <v>878</v>
      </c>
      <c r="F180" s="216" t="s">
        <v>861</v>
      </c>
      <c r="G180" s="147"/>
      <c r="H180" s="114" t="s">
        <v>23</v>
      </c>
      <c r="I180" s="114">
        <v>2</v>
      </c>
      <c r="J180" s="43">
        <v>4525</v>
      </c>
      <c r="K180" s="44">
        <f t="shared" si="6"/>
        <v>9050</v>
      </c>
      <c r="L180" s="43" t="s">
        <v>184</v>
      </c>
      <c r="M180" s="399"/>
      <c r="N180" s="64"/>
    </row>
    <row r="181" spans="2:18" ht="47.25" customHeight="1" x14ac:dyDescent="0.25">
      <c r="B181" s="361"/>
      <c r="C181" s="361"/>
      <c r="D181" s="387"/>
      <c r="E181" s="30" t="s">
        <v>878</v>
      </c>
      <c r="F181" s="216" t="s">
        <v>862</v>
      </c>
      <c r="G181" s="147"/>
      <c r="H181" s="114" t="s">
        <v>23</v>
      </c>
      <c r="I181" s="114">
        <v>1</v>
      </c>
      <c r="J181" s="43">
        <v>4485</v>
      </c>
      <c r="K181" s="44">
        <f t="shared" si="6"/>
        <v>4485</v>
      </c>
      <c r="L181" s="43" t="s">
        <v>184</v>
      </c>
      <c r="M181" s="399"/>
      <c r="N181" s="64"/>
    </row>
    <row r="182" spans="2:18" ht="47.25" customHeight="1" x14ac:dyDescent="0.25">
      <c r="B182" s="361"/>
      <c r="C182" s="361"/>
      <c r="D182" s="387"/>
      <c r="E182" s="30" t="s">
        <v>878</v>
      </c>
      <c r="F182" s="216" t="s">
        <v>863</v>
      </c>
      <c r="G182" s="147"/>
      <c r="H182" s="114" t="s">
        <v>23</v>
      </c>
      <c r="I182" s="114">
        <v>2</v>
      </c>
      <c r="J182" s="43">
        <v>4927</v>
      </c>
      <c r="K182" s="44">
        <f t="shared" si="6"/>
        <v>9854</v>
      </c>
      <c r="L182" s="43" t="s">
        <v>184</v>
      </c>
      <c r="M182" s="399"/>
      <c r="N182" s="64"/>
    </row>
    <row r="183" spans="2:18" ht="47.25" customHeight="1" x14ac:dyDescent="0.25">
      <c r="B183" s="361"/>
      <c r="C183" s="361"/>
      <c r="D183" s="387"/>
      <c r="E183" s="30" t="s">
        <v>878</v>
      </c>
      <c r="F183" s="216" t="s">
        <v>864</v>
      </c>
      <c r="G183" s="147"/>
      <c r="H183" s="114" t="s">
        <v>23</v>
      </c>
      <c r="I183" s="114">
        <v>2</v>
      </c>
      <c r="J183" s="43">
        <v>13455</v>
      </c>
      <c r="K183" s="44">
        <f t="shared" si="6"/>
        <v>26910</v>
      </c>
      <c r="L183" s="43" t="s">
        <v>184</v>
      </c>
      <c r="M183" s="399"/>
      <c r="N183" s="64"/>
    </row>
    <row r="184" spans="2:18" ht="57" customHeight="1" x14ac:dyDescent="0.25">
      <c r="B184" s="361"/>
      <c r="C184" s="361"/>
      <c r="D184" s="387"/>
      <c r="E184" s="30" t="s">
        <v>865</v>
      </c>
      <c r="F184" s="216" t="s">
        <v>866</v>
      </c>
      <c r="G184" s="145"/>
      <c r="H184" s="30" t="s">
        <v>383</v>
      </c>
      <c r="I184" s="30">
        <v>1</v>
      </c>
      <c r="J184" s="43">
        <v>13289</v>
      </c>
      <c r="K184" s="44">
        <f t="shared" si="6"/>
        <v>13289</v>
      </c>
      <c r="L184" s="43" t="s">
        <v>184</v>
      </c>
      <c r="M184" s="399"/>
      <c r="N184" s="64"/>
    </row>
    <row r="185" spans="2:18" ht="47.25" customHeight="1" x14ac:dyDescent="0.25">
      <c r="B185" s="361"/>
      <c r="C185" s="361"/>
      <c r="D185" s="387"/>
      <c r="E185" s="30" t="s">
        <v>867</v>
      </c>
      <c r="F185" s="216" t="s">
        <v>868</v>
      </c>
      <c r="G185" s="145"/>
      <c r="H185" s="30" t="s">
        <v>383</v>
      </c>
      <c r="I185" s="30">
        <v>3</v>
      </c>
      <c r="J185" s="43">
        <v>20545</v>
      </c>
      <c r="K185" s="44">
        <f t="shared" si="6"/>
        <v>61635</v>
      </c>
      <c r="L185" s="43" t="s">
        <v>184</v>
      </c>
      <c r="M185" s="399"/>
      <c r="N185" s="64"/>
    </row>
    <row r="186" spans="2:18" ht="47.25" customHeight="1" x14ac:dyDescent="0.25">
      <c r="B186" s="361"/>
      <c r="C186" s="361"/>
      <c r="D186" s="387"/>
      <c r="E186" s="30" t="s">
        <v>869</v>
      </c>
      <c r="F186" s="216" t="s">
        <v>920</v>
      </c>
      <c r="G186" s="145"/>
      <c r="H186" s="30" t="s">
        <v>383</v>
      </c>
      <c r="I186" s="30">
        <v>1</v>
      </c>
      <c r="J186" s="16">
        <v>2738</v>
      </c>
      <c r="K186" s="71">
        <f t="shared" si="6"/>
        <v>2738</v>
      </c>
      <c r="L186" s="43" t="s">
        <v>184</v>
      </c>
      <c r="M186" s="399"/>
      <c r="N186" s="64"/>
    </row>
    <row r="187" spans="2:18" ht="47.25" customHeight="1" x14ac:dyDescent="0.25">
      <c r="B187" s="361"/>
      <c r="C187" s="361"/>
      <c r="D187" s="387"/>
      <c r="E187" s="30" t="s">
        <v>870</v>
      </c>
      <c r="F187" s="216" t="s">
        <v>921</v>
      </c>
      <c r="G187" s="145"/>
      <c r="H187" s="30" t="s">
        <v>383</v>
      </c>
      <c r="I187" s="30">
        <v>1</v>
      </c>
      <c r="J187" s="16">
        <v>1667</v>
      </c>
      <c r="K187" s="71">
        <f t="shared" si="6"/>
        <v>1667</v>
      </c>
      <c r="L187" s="43" t="s">
        <v>184</v>
      </c>
      <c r="M187" s="399"/>
      <c r="N187" s="64"/>
    </row>
    <row r="188" spans="2:18" ht="47.25" customHeight="1" x14ac:dyDescent="0.25">
      <c r="B188" s="362"/>
      <c r="C188" s="362"/>
      <c r="D188" s="388"/>
      <c r="E188" s="30" t="s">
        <v>871</v>
      </c>
      <c r="F188" s="216" t="s">
        <v>922</v>
      </c>
      <c r="G188" s="145"/>
      <c r="H188" s="30" t="s">
        <v>383</v>
      </c>
      <c r="I188" s="30">
        <v>1</v>
      </c>
      <c r="J188" s="16">
        <v>811</v>
      </c>
      <c r="K188" s="71">
        <f t="shared" si="6"/>
        <v>811</v>
      </c>
      <c r="L188" s="43" t="s">
        <v>184</v>
      </c>
      <c r="M188" s="399"/>
      <c r="N188" s="64"/>
    </row>
    <row r="189" spans="2:18" ht="54" customHeight="1" x14ac:dyDescent="0.25">
      <c r="B189" s="360">
        <v>31</v>
      </c>
      <c r="C189" s="360" t="s">
        <v>38</v>
      </c>
      <c r="D189" s="386" t="s">
        <v>872</v>
      </c>
      <c r="E189" s="114" t="s">
        <v>873</v>
      </c>
      <c r="F189" s="216" t="s">
        <v>874</v>
      </c>
      <c r="G189" s="148"/>
      <c r="H189" s="114" t="s">
        <v>851</v>
      </c>
      <c r="I189" s="114">
        <v>20</v>
      </c>
      <c r="J189" s="16">
        <v>244</v>
      </c>
      <c r="K189" s="71">
        <f t="shared" si="6"/>
        <v>4880</v>
      </c>
      <c r="L189" s="43" t="s">
        <v>184</v>
      </c>
      <c r="M189" s="399"/>
      <c r="N189" s="64"/>
    </row>
    <row r="190" spans="2:18" ht="33.75" customHeight="1" x14ac:dyDescent="0.25">
      <c r="B190" s="362"/>
      <c r="C190" s="362"/>
      <c r="D190" s="388"/>
      <c r="E190" s="114" t="s">
        <v>875</v>
      </c>
      <c r="F190" s="216" t="s">
        <v>876</v>
      </c>
      <c r="G190" s="148"/>
      <c r="H190" s="114" t="s">
        <v>383</v>
      </c>
      <c r="I190" s="114">
        <v>10</v>
      </c>
      <c r="J190" s="15">
        <v>12299</v>
      </c>
      <c r="K190" s="71">
        <f t="shared" si="6"/>
        <v>122990</v>
      </c>
      <c r="L190" s="43" t="s">
        <v>184</v>
      </c>
      <c r="M190" s="399"/>
      <c r="N190" s="9"/>
    </row>
    <row r="191" spans="2:18" ht="81" customHeight="1" x14ac:dyDescent="0.25">
      <c r="B191" s="10">
        <v>32</v>
      </c>
      <c r="C191" s="10"/>
      <c r="D191" s="30" t="s">
        <v>937</v>
      </c>
      <c r="E191" s="237" t="s">
        <v>938</v>
      </c>
      <c r="F191" s="238" t="s">
        <v>939</v>
      </c>
      <c r="G191" s="239"/>
      <c r="H191" s="237" t="s">
        <v>383</v>
      </c>
      <c r="I191" s="237">
        <v>20</v>
      </c>
      <c r="J191" s="237">
        <v>1500</v>
      </c>
      <c r="K191" s="240">
        <f t="shared" si="6"/>
        <v>30000</v>
      </c>
      <c r="L191" s="241" t="s">
        <v>184</v>
      </c>
      <c r="M191" s="400"/>
      <c r="N191" s="9"/>
    </row>
    <row r="192" spans="2:18" ht="18.75" x14ac:dyDescent="0.3">
      <c r="B192" s="395" t="s">
        <v>17</v>
      </c>
      <c r="C192" s="396"/>
      <c r="D192" s="396"/>
      <c r="E192" s="396"/>
      <c r="F192" s="396"/>
      <c r="G192" s="397"/>
      <c r="H192" s="39"/>
      <c r="I192" s="39"/>
      <c r="J192" s="39"/>
      <c r="K192" s="40">
        <f>SUM(K151:K191)</f>
        <v>5058725</v>
      </c>
      <c r="L192" s="40"/>
      <c r="M192" s="40">
        <f>SUM(M149:M191)</f>
        <v>6784272</v>
      </c>
      <c r="N192" s="39"/>
      <c r="Q192" s="243">
        <f>M192-K192</f>
        <v>1725547</v>
      </c>
      <c r="R192" s="243"/>
    </row>
    <row r="193" spans="2:17" ht="15.75" x14ac:dyDescent="0.25">
      <c r="B193" s="426" t="s">
        <v>20</v>
      </c>
      <c r="C193" s="426"/>
      <c r="D193" s="426"/>
      <c r="E193" s="426"/>
      <c r="F193" s="426"/>
      <c r="G193" s="426"/>
      <c r="H193" s="426"/>
      <c r="I193" s="426"/>
      <c r="J193" s="426"/>
      <c r="K193" s="426"/>
      <c r="L193" s="426"/>
      <c r="M193" s="426"/>
      <c r="N193" s="426"/>
    </row>
    <row r="194" spans="2:17" ht="31.5" x14ac:dyDescent="0.25">
      <c r="B194" s="10">
        <v>33</v>
      </c>
      <c r="C194" s="10" t="s">
        <v>24</v>
      </c>
      <c r="D194" s="2" t="s">
        <v>213</v>
      </c>
      <c r="E194" s="10" t="s">
        <v>214</v>
      </c>
      <c r="F194" s="12" t="s">
        <v>215</v>
      </c>
      <c r="G194" s="8"/>
      <c r="H194" s="8"/>
      <c r="I194" s="8"/>
      <c r="J194" s="8"/>
      <c r="K194" s="8"/>
      <c r="L194" s="10" t="s">
        <v>184</v>
      </c>
      <c r="M194" s="44">
        <f>K194</f>
        <v>0</v>
      </c>
      <c r="N194" s="8"/>
    </row>
    <row r="195" spans="2:17" ht="31.5" x14ac:dyDescent="0.25">
      <c r="B195" s="360">
        <v>34</v>
      </c>
      <c r="C195" s="360" t="s">
        <v>38</v>
      </c>
      <c r="D195" s="352" t="s">
        <v>1267</v>
      </c>
      <c r="E195" s="8"/>
      <c r="F195" s="23" t="s">
        <v>1225</v>
      </c>
      <c r="G195" s="3"/>
      <c r="H195" s="15" t="s">
        <v>23</v>
      </c>
      <c r="I195" s="15">
        <v>5</v>
      </c>
      <c r="J195" s="15">
        <v>9550</v>
      </c>
      <c r="K195" s="10">
        <f>I195*J195</f>
        <v>47750</v>
      </c>
      <c r="L195" s="10" t="s">
        <v>184</v>
      </c>
      <c r="M195" s="44">
        <f>K195</f>
        <v>47750</v>
      </c>
      <c r="N195" s="8"/>
    </row>
    <row r="196" spans="2:17" ht="31.5" x14ac:dyDescent="0.25">
      <c r="B196" s="361"/>
      <c r="C196" s="361"/>
      <c r="D196" s="353"/>
      <c r="E196" s="8"/>
      <c r="F196" s="23" t="s">
        <v>1226</v>
      </c>
      <c r="G196" s="3"/>
      <c r="H196" s="15" t="s">
        <v>23</v>
      </c>
      <c r="I196" s="15">
        <v>1</v>
      </c>
      <c r="J196" s="15">
        <v>17195</v>
      </c>
      <c r="K196" s="10">
        <f t="shared" ref="K196:K201" si="7">I196*J196</f>
        <v>17195</v>
      </c>
      <c r="L196" s="10" t="s">
        <v>184</v>
      </c>
      <c r="M196" s="44">
        <f t="shared" ref="M196:M201" si="8">K196</f>
        <v>17195</v>
      </c>
      <c r="N196" s="8"/>
    </row>
    <row r="197" spans="2:17" ht="31.5" x14ac:dyDescent="0.25">
      <c r="B197" s="361"/>
      <c r="C197" s="361"/>
      <c r="D197" s="353"/>
      <c r="E197" s="8"/>
      <c r="F197" s="23" t="s">
        <v>1227</v>
      </c>
      <c r="G197" s="3"/>
      <c r="H197" s="15" t="s">
        <v>23</v>
      </c>
      <c r="I197" s="15">
        <v>1</v>
      </c>
      <c r="J197" s="15">
        <v>7204</v>
      </c>
      <c r="K197" s="10">
        <f t="shared" si="7"/>
        <v>7204</v>
      </c>
      <c r="L197" s="10" t="s">
        <v>184</v>
      </c>
      <c r="M197" s="44">
        <f t="shared" si="8"/>
        <v>7204</v>
      </c>
      <c r="N197" s="8"/>
    </row>
    <row r="198" spans="2:17" ht="31.5" x14ac:dyDescent="0.25">
      <c r="B198" s="361"/>
      <c r="C198" s="361"/>
      <c r="D198" s="353"/>
      <c r="E198" s="8"/>
      <c r="F198" s="23" t="s">
        <v>1228</v>
      </c>
      <c r="G198" s="3"/>
      <c r="H198" s="15" t="s">
        <v>23</v>
      </c>
      <c r="I198" s="15">
        <v>1</v>
      </c>
      <c r="J198" s="15">
        <v>65400</v>
      </c>
      <c r="K198" s="10">
        <f t="shared" si="7"/>
        <v>65400</v>
      </c>
      <c r="L198" s="10" t="s">
        <v>184</v>
      </c>
      <c r="M198" s="44">
        <f t="shared" si="8"/>
        <v>65400</v>
      </c>
      <c r="N198" s="8"/>
    </row>
    <row r="199" spans="2:17" ht="47.25" x14ac:dyDescent="0.25">
      <c r="B199" s="361"/>
      <c r="C199" s="361"/>
      <c r="D199" s="353"/>
      <c r="E199" s="8"/>
      <c r="F199" s="23" t="s">
        <v>1229</v>
      </c>
      <c r="G199" s="3"/>
      <c r="H199" s="15" t="s">
        <v>23</v>
      </c>
      <c r="I199" s="15">
        <v>1</v>
      </c>
      <c r="J199" s="15">
        <v>10070</v>
      </c>
      <c r="K199" s="10">
        <f t="shared" si="7"/>
        <v>10070</v>
      </c>
      <c r="L199" s="10" t="s">
        <v>184</v>
      </c>
      <c r="M199" s="44">
        <f t="shared" si="8"/>
        <v>10070</v>
      </c>
      <c r="N199" s="8"/>
    </row>
    <row r="200" spans="2:17" ht="15.75" x14ac:dyDescent="0.25">
      <c r="B200" s="361"/>
      <c r="C200" s="361"/>
      <c r="D200" s="353"/>
      <c r="E200" s="8"/>
      <c r="F200" s="23" t="s">
        <v>1230</v>
      </c>
      <c r="G200" s="3"/>
      <c r="H200" s="15" t="s">
        <v>23</v>
      </c>
      <c r="I200" s="15">
        <v>2</v>
      </c>
      <c r="J200" s="15">
        <v>690</v>
      </c>
      <c r="K200" s="10">
        <f t="shared" si="7"/>
        <v>1380</v>
      </c>
      <c r="L200" s="10" t="s">
        <v>184</v>
      </c>
      <c r="M200" s="44">
        <f t="shared" si="8"/>
        <v>1380</v>
      </c>
      <c r="N200" s="8"/>
    </row>
    <row r="201" spans="2:17" ht="31.5" x14ac:dyDescent="0.25">
      <c r="B201" s="362"/>
      <c r="C201" s="362"/>
      <c r="D201" s="354"/>
      <c r="E201" s="8"/>
      <c r="F201" s="23" t="s">
        <v>1231</v>
      </c>
      <c r="G201" s="3"/>
      <c r="H201" s="15" t="s">
        <v>23</v>
      </c>
      <c r="I201" s="15">
        <v>6</v>
      </c>
      <c r="J201" s="15">
        <v>8460</v>
      </c>
      <c r="K201" s="10">
        <f t="shared" si="7"/>
        <v>50760</v>
      </c>
      <c r="L201" s="10" t="s">
        <v>184</v>
      </c>
      <c r="M201" s="44">
        <f t="shared" si="8"/>
        <v>50760</v>
      </c>
      <c r="N201" s="8"/>
    </row>
    <row r="202" spans="2:17" ht="18.75" x14ac:dyDescent="0.25">
      <c r="B202" s="451" t="s">
        <v>17</v>
      </c>
      <c r="C202" s="452"/>
      <c r="D202" s="452"/>
      <c r="E202" s="452"/>
      <c r="F202" s="452"/>
      <c r="G202" s="453"/>
      <c r="H202" s="46"/>
      <c r="I202" s="46"/>
      <c r="J202" s="46"/>
      <c r="K202" s="50">
        <f>K194+K195+K196+K197+K198+K199+K200+K201</f>
        <v>199759</v>
      </c>
      <c r="L202" s="46"/>
      <c r="M202" s="49">
        <f>SUM(M194:M201)</f>
        <v>199759</v>
      </c>
      <c r="N202" s="46"/>
      <c r="Q202" s="243">
        <f>M202-K202</f>
        <v>0</v>
      </c>
    </row>
    <row r="203" spans="2:17" ht="15.75" x14ac:dyDescent="0.25">
      <c r="B203" s="426" t="s">
        <v>21</v>
      </c>
      <c r="C203" s="426"/>
      <c r="D203" s="426"/>
      <c r="E203" s="426"/>
      <c r="F203" s="426"/>
      <c r="G203" s="426"/>
      <c r="H203" s="426"/>
      <c r="I203" s="426"/>
      <c r="J203" s="426"/>
      <c r="K203" s="426"/>
      <c r="L203" s="426"/>
      <c r="M203" s="426"/>
      <c r="N203" s="426"/>
    </row>
    <row r="204" spans="2:17" ht="31.5" x14ac:dyDescent="0.25">
      <c r="B204" s="10">
        <v>35</v>
      </c>
      <c r="C204" s="10" t="s">
        <v>24</v>
      </c>
      <c r="D204" s="22" t="s">
        <v>216</v>
      </c>
      <c r="E204" s="7"/>
      <c r="F204" s="24" t="s">
        <v>37</v>
      </c>
      <c r="G204" s="6"/>
      <c r="H204" s="6"/>
      <c r="I204" s="6"/>
      <c r="J204" s="6"/>
      <c r="K204" s="6"/>
      <c r="L204" s="32" t="s">
        <v>136</v>
      </c>
      <c r="M204" s="70">
        <v>1658306</v>
      </c>
      <c r="N204" s="5"/>
    </row>
    <row r="205" spans="2:17" ht="55.5" customHeight="1" x14ac:dyDescent="0.25">
      <c r="B205" s="10">
        <v>36</v>
      </c>
      <c r="C205" s="10" t="s">
        <v>24</v>
      </c>
      <c r="D205" s="22" t="s">
        <v>217</v>
      </c>
      <c r="E205" s="22" t="s">
        <v>218</v>
      </c>
      <c r="F205" s="24" t="s">
        <v>37</v>
      </c>
      <c r="G205" s="6"/>
      <c r="H205" s="6"/>
      <c r="I205" s="6"/>
      <c r="J205" s="6"/>
      <c r="K205" s="6"/>
      <c r="L205" s="32" t="s">
        <v>136</v>
      </c>
      <c r="M205" s="70">
        <v>1423593</v>
      </c>
      <c r="N205" s="5"/>
    </row>
    <row r="206" spans="2:17" ht="55.5" customHeight="1" x14ac:dyDescent="0.25">
      <c r="B206" s="360">
        <v>37</v>
      </c>
      <c r="C206" s="360" t="s">
        <v>38</v>
      </c>
      <c r="D206" s="149" t="s">
        <v>219</v>
      </c>
      <c r="E206" s="150" t="s">
        <v>220</v>
      </c>
      <c r="F206" s="232" t="s">
        <v>894</v>
      </c>
      <c r="G206" s="152"/>
      <c r="H206" s="16" t="s">
        <v>901</v>
      </c>
      <c r="I206" s="16">
        <v>150</v>
      </c>
      <c r="J206" s="16">
        <v>1340</v>
      </c>
      <c r="K206" s="133">
        <f>I206*J206</f>
        <v>201000</v>
      </c>
      <c r="L206" s="355" t="s">
        <v>136</v>
      </c>
      <c r="M206" s="421">
        <f>K206+K207+K208+K209+K210+K211+K212</f>
        <v>421545</v>
      </c>
      <c r="N206" s="369"/>
    </row>
    <row r="207" spans="2:17" ht="28.5" customHeight="1" x14ac:dyDescent="0.25">
      <c r="B207" s="361"/>
      <c r="C207" s="361"/>
      <c r="D207" s="153"/>
      <c r="E207" s="154"/>
      <c r="F207" s="233" t="s">
        <v>895</v>
      </c>
      <c r="G207" s="155"/>
      <c r="H207" s="15" t="s">
        <v>901</v>
      </c>
      <c r="I207" s="15">
        <v>80</v>
      </c>
      <c r="J207" s="15">
        <v>345</v>
      </c>
      <c r="K207" s="71">
        <f t="shared" ref="K207:K212" si="9">I207*J207</f>
        <v>27600</v>
      </c>
      <c r="L207" s="364"/>
      <c r="M207" s="422"/>
      <c r="N207" s="370"/>
    </row>
    <row r="208" spans="2:17" ht="22.5" customHeight="1" x14ac:dyDescent="0.25">
      <c r="B208" s="361"/>
      <c r="C208" s="361"/>
      <c r="D208" s="153"/>
      <c r="E208" s="154"/>
      <c r="F208" s="233" t="s">
        <v>896</v>
      </c>
      <c r="G208" s="155"/>
      <c r="H208" s="15" t="s">
        <v>383</v>
      </c>
      <c r="I208" s="15">
        <v>75</v>
      </c>
      <c r="J208" s="15">
        <v>1170</v>
      </c>
      <c r="K208" s="71">
        <f t="shared" si="9"/>
        <v>87750</v>
      </c>
      <c r="L208" s="364"/>
      <c r="M208" s="422"/>
      <c r="N208" s="370"/>
    </row>
    <row r="209" spans="2:17" ht="37.5" customHeight="1" x14ac:dyDescent="0.25">
      <c r="B209" s="361"/>
      <c r="C209" s="361"/>
      <c r="D209" s="153"/>
      <c r="E209" s="154"/>
      <c r="F209" s="233" t="s">
        <v>897</v>
      </c>
      <c r="G209" s="155"/>
      <c r="H209" s="15" t="s">
        <v>23</v>
      </c>
      <c r="I209" s="15">
        <v>100</v>
      </c>
      <c r="J209" s="15">
        <v>450</v>
      </c>
      <c r="K209" s="71">
        <f t="shared" si="9"/>
        <v>45000</v>
      </c>
      <c r="L209" s="364"/>
      <c r="M209" s="422"/>
      <c r="N209" s="370"/>
    </row>
    <row r="210" spans="2:17" ht="33.75" customHeight="1" x14ac:dyDescent="0.25">
      <c r="B210" s="361"/>
      <c r="C210" s="361"/>
      <c r="D210" s="153"/>
      <c r="E210" s="154"/>
      <c r="F210" s="233" t="s">
        <v>898</v>
      </c>
      <c r="G210" s="155"/>
      <c r="H210" s="15" t="s">
        <v>23</v>
      </c>
      <c r="I210" s="15">
        <v>1</v>
      </c>
      <c r="J210" s="15">
        <v>16680</v>
      </c>
      <c r="K210" s="71">
        <f t="shared" si="9"/>
        <v>16680</v>
      </c>
      <c r="L210" s="364"/>
      <c r="M210" s="422"/>
      <c r="N210" s="370"/>
    </row>
    <row r="211" spans="2:17" ht="27" customHeight="1" x14ac:dyDescent="0.25">
      <c r="B211" s="361"/>
      <c r="C211" s="361"/>
      <c r="D211" s="153"/>
      <c r="E211" s="154"/>
      <c r="F211" s="233" t="s">
        <v>899</v>
      </c>
      <c r="G211" s="155"/>
      <c r="H211" s="15" t="s">
        <v>23</v>
      </c>
      <c r="I211" s="15">
        <v>90</v>
      </c>
      <c r="J211" s="15">
        <v>393</v>
      </c>
      <c r="K211" s="71">
        <f t="shared" si="9"/>
        <v>35370</v>
      </c>
      <c r="L211" s="364"/>
      <c r="M211" s="422"/>
      <c r="N211" s="370"/>
    </row>
    <row r="212" spans="2:17" ht="27" customHeight="1" x14ac:dyDescent="0.25">
      <c r="B212" s="361"/>
      <c r="C212" s="361"/>
      <c r="D212" s="153"/>
      <c r="E212" s="154"/>
      <c r="F212" s="233" t="s">
        <v>900</v>
      </c>
      <c r="G212" s="155"/>
      <c r="H212" s="15" t="s">
        <v>23</v>
      </c>
      <c r="I212" s="15">
        <v>15</v>
      </c>
      <c r="J212" s="15">
        <v>543</v>
      </c>
      <c r="K212" s="71">
        <f t="shared" si="9"/>
        <v>8145</v>
      </c>
      <c r="L212" s="364"/>
      <c r="M212" s="427"/>
      <c r="N212" s="370"/>
    </row>
    <row r="213" spans="2:17" ht="38.25" customHeight="1" x14ac:dyDescent="0.25">
      <c r="B213" s="362"/>
      <c r="C213" s="362"/>
      <c r="D213" s="151"/>
      <c r="E213" s="151"/>
      <c r="F213" s="24" t="s">
        <v>893</v>
      </c>
      <c r="G213" s="6"/>
      <c r="H213" s="6"/>
      <c r="I213" s="6"/>
      <c r="J213" s="6"/>
      <c r="K213" s="130"/>
      <c r="L213" s="365"/>
      <c r="M213" s="70">
        <v>306623</v>
      </c>
      <c r="N213" s="371"/>
    </row>
    <row r="214" spans="2:17" ht="47.25" x14ac:dyDescent="0.25">
      <c r="B214" s="10">
        <v>38</v>
      </c>
      <c r="C214" s="10" t="s">
        <v>24</v>
      </c>
      <c r="D214" s="22" t="s">
        <v>221</v>
      </c>
      <c r="E214" s="22" t="s">
        <v>222</v>
      </c>
      <c r="F214" s="24" t="s">
        <v>37</v>
      </c>
      <c r="G214" s="6"/>
      <c r="H214" s="6"/>
      <c r="I214" s="6"/>
      <c r="J214" s="6"/>
      <c r="K214" s="130"/>
      <c r="L214" s="32" t="s">
        <v>136</v>
      </c>
      <c r="M214" s="70">
        <v>1692905</v>
      </c>
      <c r="N214" s="5"/>
    </row>
    <row r="215" spans="2:17" ht="63" customHeight="1" x14ac:dyDescent="0.25">
      <c r="B215" s="360">
        <v>39</v>
      </c>
      <c r="C215" s="360" t="s">
        <v>24</v>
      </c>
      <c r="D215" s="374" t="s">
        <v>223</v>
      </c>
      <c r="E215" s="374" t="s">
        <v>224</v>
      </c>
      <c r="F215" s="218" t="s">
        <v>231</v>
      </c>
      <c r="G215" s="355" t="s">
        <v>232</v>
      </c>
      <c r="H215" s="15" t="s">
        <v>23</v>
      </c>
      <c r="I215" s="15">
        <v>20</v>
      </c>
      <c r="J215" s="15">
        <v>6000</v>
      </c>
      <c r="K215" s="71">
        <f>J215*I215</f>
        <v>120000</v>
      </c>
      <c r="L215" s="389" t="s">
        <v>184</v>
      </c>
      <c r="M215" s="421">
        <f>K215+K216+K217</f>
        <v>125000</v>
      </c>
      <c r="N215" s="369"/>
    </row>
    <row r="216" spans="2:17" ht="15.75" x14ac:dyDescent="0.25">
      <c r="B216" s="361"/>
      <c r="C216" s="361"/>
      <c r="D216" s="375"/>
      <c r="E216" s="375"/>
      <c r="F216" s="214" t="s">
        <v>233</v>
      </c>
      <c r="G216" s="364"/>
      <c r="H216" s="15" t="s">
        <v>134</v>
      </c>
      <c r="I216" s="15">
        <v>100</v>
      </c>
      <c r="J216" s="15">
        <v>40</v>
      </c>
      <c r="K216" s="71">
        <f>J216*I216</f>
        <v>4000</v>
      </c>
      <c r="L216" s="390"/>
      <c r="M216" s="422"/>
      <c r="N216" s="370"/>
    </row>
    <row r="217" spans="2:17" ht="15.75" x14ac:dyDescent="0.25">
      <c r="B217" s="362"/>
      <c r="C217" s="362"/>
      <c r="D217" s="376"/>
      <c r="E217" s="376"/>
      <c r="F217" s="219" t="s">
        <v>234</v>
      </c>
      <c r="G217" s="365"/>
      <c r="H217" s="15" t="s">
        <v>23</v>
      </c>
      <c r="I217" s="15">
        <v>10</v>
      </c>
      <c r="J217" s="15">
        <v>100</v>
      </c>
      <c r="K217" s="71">
        <f>J217*I217</f>
        <v>1000</v>
      </c>
      <c r="L217" s="391"/>
      <c r="M217" s="427"/>
      <c r="N217" s="371"/>
    </row>
    <row r="218" spans="2:17" ht="31.5" x14ac:dyDescent="0.25">
      <c r="B218" s="10">
        <v>40</v>
      </c>
      <c r="C218" s="10" t="s">
        <v>38</v>
      </c>
      <c r="D218" s="23" t="s">
        <v>225</v>
      </c>
      <c r="E218" s="23" t="s">
        <v>226</v>
      </c>
      <c r="F218" s="190" t="s">
        <v>877</v>
      </c>
      <c r="G218" s="26" t="s">
        <v>956</v>
      </c>
      <c r="H218" s="15" t="s">
        <v>23</v>
      </c>
      <c r="I218" s="15">
        <v>2</v>
      </c>
      <c r="J218" s="15">
        <v>130481</v>
      </c>
      <c r="K218" s="70">
        <f>I218*J218</f>
        <v>260962</v>
      </c>
      <c r="L218" s="15" t="s">
        <v>184</v>
      </c>
      <c r="M218" s="174">
        <f>K218</f>
        <v>260962</v>
      </c>
      <c r="N218" s="5"/>
    </row>
    <row r="219" spans="2:17" ht="31.5" x14ac:dyDescent="0.25">
      <c r="B219" s="410">
        <v>41</v>
      </c>
      <c r="C219" s="360" t="s">
        <v>38</v>
      </c>
      <c r="D219" s="386" t="s">
        <v>948</v>
      </c>
      <c r="E219" s="386" t="s">
        <v>940</v>
      </c>
      <c r="F219" s="234" t="s">
        <v>950</v>
      </c>
      <c r="G219" s="145" t="s">
        <v>949</v>
      </c>
      <c r="H219" s="114" t="s">
        <v>383</v>
      </c>
      <c r="I219" s="114">
        <v>4</v>
      </c>
      <c r="J219" s="114">
        <v>5242</v>
      </c>
      <c r="K219" s="70">
        <f>I219*J219</f>
        <v>20968</v>
      </c>
      <c r="L219" s="15" t="s">
        <v>416</v>
      </c>
      <c r="M219" s="174">
        <f>K219</f>
        <v>20968</v>
      </c>
      <c r="N219" s="5"/>
    </row>
    <row r="220" spans="2:17" ht="31.5" x14ac:dyDescent="0.25">
      <c r="B220" s="411"/>
      <c r="C220" s="362"/>
      <c r="D220" s="388"/>
      <c r="E220" s="388"/>
      <c r="F220" s="235" t="s">
        <v>947</v>
      </c>
      <c r="G220" s="145" t="s">
        <v>232</v>
      </c>
      <c r="H220" s="114" t="s">
        <v>941</v>
      </c>
      <c r="I220" s="114">
        <v>10</v>
      </c>
      <c r="J220" s="114">
        <v>6500</v>
      </c>
      <c r="K220" s="146">
        <f>J220*I220</f>
        <v>65000</v>
      </c>
      <c r="L220" s="15" t="s">
        <v>416</v>
      </c>
      <c r="M220" s="174">
        <f>K220</f>
        <v>65000</v>
      </c>
      <c r="N220" s="5"/>
    </row>
    <row r="221" spans="2:17" ht="18.75" x14ac:dyDescent="0.3">
      <c r="B221" s="395" t="s">
        <v>18</v>
      </c>
      <c r="C221" s="396"/>
      <c r="D221" s="396"/>
      <c r="E221" s="396"/>
      <c r="F221" s="396"/>
      <c r="G221" s="397"/>
      <c r="H221" s="39"/>
      <c r="I221" s="39"/>
      <c r="J221" s="39"/>
      <c r="K221" s="40">
        <f>SUM(K204:K220)</f>
        <v>893475</v>
      </c>
      <c r="L221" s="39"/>
      <c r="M221" s="52">
        <f>SUM(M204:M220)</f>
        <v>5974902</v>
      </c>
      <c r="N221" s="39"/>
      <c r="Q221" s="243">
        <f>M221-K221</f>
        <v>5081427</v>
      </c>
    </row>
    <row r="222" spans="2:17" ht="18.75" x14ac:dyDescent="0.3">
      <c r="B222" s="395" t="s">
        <v>1273</v>
      </c>
      <c r="C222" s="396"/>
      <c r="D222" s="396"/>
      <c r="E222" s="396"/>
      <c r="F222" s="396"/>
      <c r="G222" s="397"/>
      <c r="H222" s="39"/>
      <c r="I222" s="39"/>
      <c r="J222" s="39"/>
      <c r="K222" s="40"/>
      <c r="L222" s="39"/>
      <c r="M222" s="52">
        <v>780000</v>
      </c>
      <c r="N222" s="39"/>
      <c r="Q222" s="243"/>
    </row>
    <row r="223" spans="2:17" ht="18.75" x14ac:dyDescent="0.3">
      <c r="B223" s="412" t="s">
        <v>961</v>
      </c>
      <c r="C223" s="412"/>
      <c r="D223" s="412"/>
      <c r="E223" s="412"/>
      <c r="F223" s="412"/>
      <c r="G223" s="412"/>
      <c r="H223" s="39"/>
      <c r="I223" s="39"/>
      <c r="J223" s="39"/>
      <c r="K223" s="50">
        <f>K221+K202+K192+K147+K92+K31+K26</f>
        <v>14064023</v>
      </c>
      <c r="L223" s="50"/>
      <c r="M223" s="50">
        <f>M221+M202+M192+M147+M92+M31+M26+M222</f>
        <v>29899727</v>
      </c>
      <c r="N223" s="39"/>
    </row>
    <row r="224" spans="2:17" ht="30" customHeight="1" x14ac:dyDescent="0.25">
      <c r="B224" s="413" t="s">
        <v>235</v>
      </c>
      <c r="C224" s="413"/>
      <c r="D224" s="413"/>
      <c r="E224" s="413"/>
      <c r="F224" s="413"/>
      <c r="G224" s="413"/>
      <c r="H224" s="413"/>
      <c r="I224" s="413"/>
      <c r="J224" s="413"/>
      <c r="K224" s="413"/>
      <c r="L224" s="413"/>
      <c r="M224" s="413"/>
      <c r="N224" s="413"/>
    </row>
    <row r="225" spans="2:14" ht="18.75" x14ac:dyDescent="0.25">
      <c r="B225" s="414" t="s">
        <v>236</v>
      </c>
      <c r="C225" s="414"/>
      <c r="D225" s="414"/>
      <c r="E225" s="414"/>
      <c r="F225" s="414"/>
      <c r="G225" s="414"/>
      <c r="H225" s="414"/>
      <c r="I225" s="414"/>
      <c r="J225" s="414"/>
      <c r="K225" s="414"/>
      <c r="L225" s="414"/>
      <c r="M225" s="414"/>
      <c r="N225" s="414"/>
    </row>
    <row r="226" spans="2:14" ht="57.75" customHeight="1" x14ac:dyDescent="0.25">
      <c r="B226" s="33">
        <v>1</v>
      </c>
      <c r="C226" s="62" t="s">
        <v>24</v>
      </c>
      <c r="D226" s="33" t="s">
        <v>402</v>
      </c>
      <c r="E226" s="15" t="s">
        <v>403</v>
      </c>
      <c r="F226" s="24" t="s">
        <v>399</v>
      </c>
      <c r="G226" s="15"/>
      <c r="H226" s="15"/>
      <c r="I226" s="15"/>
      <c r="J226" s="15"/>
      <c r="K226" s="15"/>
      <c r="L226" s="120" t="s">
        <v>903</v>
      </c>
      <c r="M226" s="69">
        <v>3966944</v>
      </c>
      <c r="N226" s="33"/>
    </row>
    <row r="227" spans="2:14" ht="33.75" customHeight="1" x14ac:dyDescent="0.25">
      <c r="B227" s="352">
        <v>2</v>
      </c>
      <c r="C227" s="352" t="s">
        <v>38</v>
      </c>
      <c r="D227" s="352" t="s">
        <v>237</v>
      </c>
      <c r="E227" s="32" t="s">
        <v>238</v>
      </c>
      <c r="F227" s="185" t="s">
        <v>239</v>
      </c>
      <c r="G227" s="32" t="s">
        <v>240</v>
      </c>
      <c r="H227" s="32" t="s">
        <v>23</v>
      </c>
      <c r="I227" s="32">
        <v>4</v>
      </c>
      <c r="J227" s="32">
        <v>26520</v>
      </c>
      <c r="K227" s="123">
        <f t="shared" ref="K227:K233" si="10">J227*I227</f>
        <v>106080</v>
      </c>
      <c r="L227" s="355" t="s">
        <v>29</v>
      </c>
      <c r="M227" s="393">
        <f>K227+K228</f>
        <v>277020</v>
      </c>
      <c r="N227" s="352" t="s">
        <v>963</v>
      </c>
    </row>
    <row r="228" spans="2:14" ht="31.5" x14ac:dyDescent="0.25">
      <c r="B228" s="354"/>
      <c r="C228" s="354"/>
      <c r="D228" s="354"/>
      <c r="E228" s="32" t="s">
        <v>241</v>
      </c>
      <c r="F228" s="185" t="s">
        <v>972</v>
      </c>
      <c r="G228" s="32" t="s">
        <v>240</v>
      </c>
      <c r="H228" s="32" t="s">
        <v>243</v>
      </c>
      <c r="I228" s="32">
        <v>1</v>
      </c>
      <c r="J228" s="32">
        <v>170940</v>
      </c>
      <c r="K228" s="123">
        <f t="shared" si="10"/>
        <v>170940</v>
      </c>
      <c r="L228" s="365"/>
      <c r="M228" s="394"/>
      <c r="N228" s="354"/>
    </row>
    <row r="229" spans="2:14" ht="31.5" x14ac:dyDescent="0.25">
      <c r="B229" s="352">
        <v>3</v>
      </c>
      <c r="C229" s="352" t="s">
        <v>38</v>
      </c>
      <c r="D229" s="352" t="s">
        <v>244</v>
      </c>
      <c r="E229" s="32" t="s">
        <v>238</v>
      </c>
      <c r="F229" s="185" t="s">
        <v>239</v>
      </c>
      <c r="G229" s="32" t="s">
        <v>240</v>
      </c>
      <c r="H229" s="32" t="s">
        <v>23</v>
      </c>
      <c r="I229" s="32">
        <v>2</v>
      </c>
      <c r="J229" s="32">
        <v>26520</v>
      </c>
      <c r="K229" s="123">
        <f t="shared" si="10"/>
        <v>53040</v>
      </c>
      <c r="L229" s="355" t="s">
        <v>29</v>
      </c>
      <c r="M229" s="393">
        <f>K229+K230+K231</f>
        <v>272620</v>
      </c>
      <c r="N229" s="65"/>
    </row>
    <row r="230" spans="2:14" ht="31.5" x14ac:dyDescent="0.25">
      <c r="B230" s="353"/>
      <c r="C230" s="353"/>
      <c r="D230" s="353"/>
      <c r="E230" s="32"/>
      <c r="F230" s="185" t="s">
        <v>245</v>
      </c>
      <c r="G230" s="32" t="s">
        <v>246</v>
      </c>
      <c r="H230" s="32" t="s">
        <v>23</v>
      </c>
      <c r="I230" s="32">
        <v>4</v>
      </c>
      <c r="J230" s="32">
        <v>7900</v>
      </c>
      <c r="K230" s="123">
        <f t="shared" si="10"/>
        <v>31600</v>
      </c>
      <c r="L230" s="364"/>
      <c r="M230" s="408"/>
      <c r="N230" s="66" t="s">
        <v>408</v>
      </c>
    </row>
    <row r="231" spans="2:14" ht="31.5" x14ac:dyDescent="0.25">
      <c r="B231" s="354"/>
      <c r="C231" s="354"/>
      <c r="D231" s="354"/>
      <c r="E231" s="32" t="s">
        <v>241</v>
      </c>
      <c r="F231" s="185" t="s">
        <v>242</v>
      </c>
      <c r="G231" s="32" t="s">
        <v>240</v>
      </c>
      <c r="H231" s="32" t="s">
        <v>243</v>
      </c>
      <c r="I231" s="32">
        <v>1</v>
      </c>
      <c r="J231" s="32">
        <v>187980</v>
      </c>
      <c r="K231" s="123">
        <f t="shared" si="10"/>
        <v>187980</v>
      </c>
      <c r="L231" s="365"/>
      <c r="M231" s="394"/>
      <c r="N231" s="67"/>
    </row>
    <row r="232" spans="2:14" ht="31.5" x14ac:dyDescent="0.25">
      <c r="B232" s="352">
        <v>4</v>
      </c>
      <c r="C232" s="352" t="s">
        <v>38</v>
      </c>
      <c r="D232" s="352" t="s">
        <v>247</v>
      </c>
      <c r="E232" s="32" t="s">
        <v>238</v>
      </c>
      <c r="F232" s="185" t="s">
        <v>239</v>
      </c>
      <c r="G232" s="32" t="s">
        <v>240</v>
      </c>
      <c r="H232" s="32" t="s">
        <v>23</v>
      </c>
      <c r="I232" s="32">
        <v>2</v>
      </c>
      <c r="J232" s="32">
        <v>26520</v>
      </c>
      <c r="K232" s="123">
        <f t="shared" si="10"/>
        <v>53040</v>
      </c>
      <c r="L232" s="355" t="s">
        <v>29</v>
      </c>
      <c r="M232" s="393">
        <f>SUM(K232:K240)</f>
        <v>1714998</v>
      </c>
      <c r="N232" s="65"/>
    </row>
    <row r="233" spans="2:14" ht="31.5" x14ac:dyDescent="0.25">
      <c r="B233" s="353"/>
      <c r="C233" s="353"/>
      <c r="D233" s="353"/>
      <c r="E233" s="32"/>
      <c r="F233" s="185" t="s">
        <v>245</v>
      </c>
      <c r="G233" s="32" t="s">
        <v>246</v>
      </c>
      <c r="H233" s="32" t="s">
        <v>23</v>
      </c>
      <c r="I233" s="32">
        <v>4</v>
      </c>
      <c r="J233" s="32">
        <v>7900</v>
      </c>
      <c r="K233" s="123">
        <f t="shared" si="10"/>
        <v>31600</v>
      </c>
      <c r="L233" s="364"/>
      <c r="M233" s="408"/>
      <c r="N233" s="66" t="s">
        <v>408</v>
      </c>
    </row>
    <row r="234" spans="2:14" ht="31.5" x14ac:dyDescent="0.25">
      <c r="B234" s="353"/>
      <c r="C234" s="353"/>
      <c r="D234" s="353"/>
      <c r="E234" s="32" t="s">
        <v>248</v>
      </c>
      <c r="F234" s="185" t="s">
        <v>249</v>
      </c>
      <c r="G234" s="32" t="s">
        <v>407</v>
      </c>
      <c r="H234" s="32" t="s">
        <v>243</v>
      </c>
      <c r="I234" s="32">
        <v>1</v>
      </c>
      <c r="J234" s="32">
        <v>256880</v>
      </c>
      <c r="K234" s="123">
        <f t="shared" ref="K234:K242" si="11">J234*I234</f>
        <v>256880</v>
      </c>
      <c r="L234" s="364"/>
      <c r="M234" s="408"/>
      <c r="N234" s="66"/>
    </row>
    <row r="235" spans="2:14" ht="15.75" x14ac:dyDescent="0.25">
      <c r="B235" s="353"/>
      <c r="C235" s="353"/>
      <c r="D235" s="353"/>
      <c r="E235" s="32" t="s">
        <v>250</v>
      </c>
      <c r="F235" s="185" t="s">
        <v>251</v>
      </c>
      <c r="G235" s="32" t="s">
        <v>246</v>
      </c>
      <c r="H235" s="32" t="s">
        <v>23</v>
      </c>
      <c r="I235" s="32">
        <v>2000</v>
      </c>
      <c r="J235" s="32">
        <v>455</v>
      </c>
      <c r="K235" s="123">
        <f t="shared" si="11"/>
        <v>910000</v>
      </c>
      <c r="L235" s="364"/>
      <c r="M235" s="408"/>
      <c r="N235" s="66"/>
    </row>
    <row r="236" spans="2:14" ht="31.5" x14ac:dyDescent="0.25">
      <c r="B236" s="353"/>
      <c r="C236" s="353"/>
      <c r="D236" s="353"/>
      <c r="E236" s="32" t="s">
        <v>252</v>
      </c>
      <c r="F236" s="185" t="s">
        <v>253</v>
      </c>
      <c r="G236" s="32" t="s">
        <v>246</v>
      </c>
      <c r="H236" s="32" t="s">
        <v>23</v>
      </c>
      <c r="I236" s="32">
        <v>500</v>
      </c>
      <c r="J236" s="32">
        <v>224</v>
      </c>
      <c r="K236" s="123">
        <f t="shared" si="11"/>
        <v>112000</v>
      </c>
      <c r="L236" s="364"/>
      <c r="M236" s="408"/>
      <c r="N236" s="66"/>
    </row>
    <row r="237" spans="2:14" ht="31.5" x14ac:dyDescent="0.25">
      <c r="B237" s="353"/>
      <c r="C237" s="353"/>
      <c r="D237" s="353"/>
      <c r="E237" s="32" t="s">
        <v>241</v>
      </c>
      <c r="F237" s="185" t="s">
        <v>242</v>
      </c>
      <c r="G237" s="32" t="s">
        <v>240</v>
      </c>
      <c r="H237" s="32" t="s">
        <v>243</v>
      </c>
      <c r="I237" s="32">
        <v>1</v>
      </c>
      <c r="J237" s="32">
        <v>187980</v>
      </c>
      <c r="K237" s="123">
        <f t="shared" si="11"/>
        <v>187980</v>
      </c>
      <c r="L237" s="364"/>
      <c r="M237" s="408"/>
      <c r="N237" s="66"/>
    </row>
    <row r="238" spans="2:14" ht="31.5" x14ac:dyDescent="0.25">
      <c r="B238" s="353"/>
      <c r="C238" s="353"/>
      <c r="D238" s="353"/>
      <c r="E238" s="32" t="s">
        <v>254</v>
      </c>
      <c r="F238" s="185" t="s">
        <v>255</v>
      </c>
      <c r="G238" s="32" t="s">
        <v>246</v>
      </c>
      <c r="H238" s="32" t="s">
        <v>23</v>
      </c>
      <c r="I238" s="32">
        <v>315</v>
      </c>
      <c r="J238" s="32">
        <v>382</v>
      </c>
      <c r="K238" s="123">
        <f t="shared" si="11"/>
        <v>120330</v>
      </c>
      <c r="L238" s="364"/>
      <c r="M238" s="408"/>
      <c r="N238" s="66"/>
    </row>
    <row r="239" spans="2:14" ht="31.5" x14ac:dyDescent="0.25">
      <c r="B239" s="353"/>
      <c r="C239" s="353"/>
      <c r="D239" s="353"/>
      <c r="E239" s="32" t="s">
        <v>256</v>
      </c>
      <c r="F239" s="185" t="s">
        <v>257</v>
      </c>
      <c r="G239" s="32" t="s">
        <v>407</v>
      </c>
      <c r="H239" s="32" t="s">
        <v>23</v>
      </c>
      <c r="I239" s="32">
        <v>38</v>
      </c>
      <c r="J239" s="32">
        <v>568</v>
      </c>
      <c r="K239" s="123">
        <f t="shared" si="11"/>
        <v>21584</v>
      </c>
      <c r="L239" s="364"/>
      <c r="M239" s="408"/>
      <c r="N239" s="66"/>
    </row>
    <row r="240" spans="2:14" ht="31.5" x14ac:dyDescent="0.25">
      <c r="B240" s="354"/>
      <c r="C240" s="354"/>
      <c r="D240" s="354"/>
      <c r="E240" s="32" t="s">
        <v>258</v>
      </c>
      <c r="F240" s="185" t="s">
        <v>259</v>
      </c>
      <c r="G240" s="32" t="s">
        <v>407</v>
      </c>
      <c r="H240" s="32" t="s">
        <v>23</v>
      </c>
      <c r="I240" s="32">
        <v>38</v>
      </c>
      <c r="J240" s="32">
        <v>568</v>
      </c>
      <c r="K240" s="123">
        <f t="shared" si="11"/>
        <v>21584</v>
      </c>
      <c r="L240" s="365"/>
      <c r="M240" s="394"/>
      <c r="N240" s="67"/>
    </row>
    <row r="241" spans="2:14" ht="31.5" x14ac:dyDescent="0.25">
      <c r="B241" s="352">
        <v>5</v>
      </c>
      <c r="C241" s="352" t="s">
        <v>38</v>
      </c>
      <c r="D241" s="352" t="s">
        <v>260</v>
      </c>
      <c r="E241" s="32" t="s">
        <v>238</v>
      </c>
      <c r="F241" s="185" t="s">
        <v>239</v>
      </c>
      <c r="G241" s="32" t="s">
        <v>240</v>
      </c>
      <c r="H241" s="32" t="s">
        <v>23</v>
      </c>
      <c r="I241" s="32">
        <v>2</v>
      </c>
      <c r="J241" s="2">
        <v>26520</v>
      </c>
      <c r="K241" s="124">
        <f t="shared" si="11"/>
        <v>53040</v>
      </c>
      <c r="L241" s="352" t="s">
        <v>29</v>
      </c>
      <c r="M241" s="404">
        <f>SUM(K241:K250)</f>
        <v>1801598</v>
      </c>
      <c r="N241" s="65"/>
    </row>
    <row r="242" spans="2:14" ht="15.75" x14ac:dyDescent="0.25">
      <c r="B242" s="353"/>
      <c r="C242" s="353"/>
      <c r="D242" s="353"/>
      <c r="E242" s="32"/>
      <c r="F242" s="185" t="s">
        <v>912</v>
      </c>
      <c r="G242" s="32" t="s">
        <v>246</v>
      </c>
      <c r="H242" s="32" t="s">
        <v>23</v>
      </c>
      <c r="I242" s="32">
        <v>8</v>
      </c>
      <c r="J242" s="32">
        <v>7900</v>
      </c>
      <c r="K242" s="123">
        <f t="shared" si="11"/>
        <v>63200</v>
      </c>
      <c r="L242" s="353"/>
      <c r="M242" s="405"/>
      <c r="N242" s="66" t="s">
        <v>408</v>
      </c>
    </row>
    <row r="243" spans="2:14" ht="31.5" x14ac:dyDescent="0.25">
      <c r="B243" s="353"/>
      <c r="C243" s="353"/>
      <c r="D243" s="353"/>
      <c r="E243" s="32" t="s">
        <v>248</v>
      </c>
      <c r="F243" s="185" t="s">
        <v>249</v>
      </c>
      <c r="G243" s="32" t="s">
        <v>407</v>
      </c>
      <c r="H243" s="32" t="s">
        <v>243</v>
      </c>
      <c r="I243" s="32">
        <v>1</v>
      </c>
      <c r="J243" s="2">
        <v>256880</v>
      </c>
      <c r="K243" s="124">
        <f t="shared" ref="K243:K250" si="12">J243*I243</f>
        <v>256880</v>
      </c>
      <c r="L243" s="353"/>
      <c r="M243" s="405"/>
      <c r="N243" s="66"/>
    </row>
    <row r="244" spans="2:14" ht="15.75" x14ac:dyDescent="0.25">
      <c r="B244" s="353"/>
      <c r="C244" s="353"/>
      <c r="D244" s="353"/>
      <c r="E244" s="32" t="s">
        <v>250</v>
      </c>
      <c r="F244" s="185" t="s">
        <v>251</v>
      </c>
      <c r="G244" s="32" t="s">
        <v>246</v>
      </c>
      <c r="H244" s="32" t="s">
        <v>23</v>
      </c>
      <c r="I244" s="32">
        <v>2000</v>
      </c>
      <c r="J244" s="2">
        <v>455</v>
      </c>
      <c r="K244" s="124">
        <f t="shared" si="12"/>
        <v>910000</v>
      </c>
      <c r="L244" s="353"/>
      <c r="M244" s="405"/>
      <c r="N244" s="66"/>
    </row>
    <row r="245" spans="2:14" ht="31.5" x14ac:dyDescent="0.25">
      <c r="B245" s="353"/>
      <c r="C245" s="353"/>
      <c r="D245" s="353"/>
      <c r="E245" s="32" t="s">
        <v>252</v>
      </c>
      <c r="F245" s="185" t="s">
        <v>253</v>
      </c>
      <c r="G245" s="32" t="s">
        <v>246</v>
      </c>
      <c r="H245" s="32" t="s">
        <v>23</v>
      </c>
      <c r="I245" s="32">
        <v>500</v>
      </c>
      <c r="J245" s="2">
        <v>224</v>
      </c>
      <c r="K245" s="124">
        <f t="shared" si="12"/>
        <v>112000</v>
      </c>
      <c r="L245" s="353"/>
      <c r="M245" s="405"/>
      <c r="N245" s="66"/>
    </row>
    <row r="246" spans="2:14" ht="31.5" x14ac:dyDescent="0.25">
      <c r="B246" s="353"/>
      <c r="C246" s="353"/>
      <c r="D246" s="353"/>
      <c r="E246" s="32" t="s">
        <v>241</v>
      </c>
      <c r="F246" s="185" t="s">
        <v>242</v>
      </c>
      <c r="G246" s="32" t="s">
        <v>240</v>
      </c>
      <c r="H246" s="32" t="s">
        <v>243</v>
      </c>
      <c r="I246" s="32">
        <v>1</v>
      </c>
      <c r="J246" s="2">
        <v>187980</v>
      </c>
      <c r="K246" s="124">
        <f t="shared" si="12"/>
        <v>187980</v>
      </c>
      <c r="L246" s="353"/>
      <c r="M246" s="405"/>
      <c r="N246" s="66"/>
    </row>
    <row r="247" spans="2:14" ht="31.5" x14ac:dyDescent="0.25">
      <c r="B247" s="353"/>
      <c r="C247" s="353"/>
      <c r="D247" s="353"/>
      <c r="E247" s="32" t="s">
        <v>254</v>
      </c>
      <c r="F247" s="185" t="s">
        <v>255</v>
      </c>
      <c r="G247" s="32" t="s">
        <v>246</v>
      </c>
      <c r="H247" s="32" t="s">
        <v>23</v>
      </c>
      <c r="I247" s="32">
        <v>315</v>
      </c>
      <c r="J247" s="2">
        <v>382</v>
      </c>
      <c r="K247" s="124">
        <f t="shared" si="12"/>
        <v>120330</v>
      </c>
      <c r="L247" s="353"/>
      <c r="M247" s="405"/>
      <c r="N247" s="66"/>
    </row>
    <row r="248" spans="2:14" ht="31.5" x14ac:dyDescent="0.25">
      <c r="B248" s="353"/>
      <c r="C248" s="353"/>
      <c r="D248" s="353"/>
      <c r="E248" s="32" t="s">
        <v>256</v>
      </c>
      <c r="F248" s="185" t="s">
        <v>257</v>
      </c>
      <c r="G248" s="32" t="s">
        <v>246</v>
      </c>
      <c r="H248" s="32" t="s">
        <v>23</v>
      </c>
      <c r="I248" s="32">
        <v>38</v>
      </c>
      <c r="J248" s="2">
        <v>568</v>
      </c>
      <c r="K248" s="124">
        <f t="shared" si="12"/>
        <v>21584</v>
      </c>
      <c r="L248" s="353"/>
      <c r="M248" s="405"/>
      <c r="N248" s="66"/>
    </row>
    <row r="249" spans="2:14" ht="31.5" x14ac:dyDescent="0.25">
      <c r="B249" s="354"/>
      <c r="C249" s="354"/>
      <c r="D249" s="354"/>
      <c r="E249" s="32" t="s">
        <v>258</v>
      </c>
      <c r="F249" s="185" t="s">
        <v>259</v>
      </c>
      <c r="G249" s="32" t="s">
        <v>246</v>
      </c>
      <c r="H249" s="32" t="s">
        <v>23</v>
      </c>
      <c r="I249" s="32">
        <v>38</v>
      </c>
      <c r="J249" s="2">
        <v>568</v>
      </c>
      <c r="K249" s="124">
        <f t="shared" si="12"/>
        <v>21584</v>
      </c>
      <c r="L249" s="353"/>
      <c r="M249" s="405"/>
      <c r="N249" s="66"/>
    </row>
    <row r="250" spans="2:14" ht="47.25" x14ac:dyDescent="0.25">
      <c r="B250" s="2">
        <v>6</v>
      </c>
      <c r="C250" s="2" t="s">
        <v>38</v>
      </c>
      <c r="D250" s="2" t="s">
        <v>954</v>
      </c>
      <c r="E250" s="32" t="s">
        <v>952</v>
      </c>
      <c r="F250" s="185" t="s">
        <v>953</v>
      </c>
      <c r="G250" s="32"/>
      <c r="H250" s="32" t="s">
        <v>23</v>
      </c>
      <c r="I250" s="32">
        <v>50</v>
      </c>
      <c r="J250" s="2">
        <v>1100</v>
      </c>
      <c r="K250" s="124">
        <f t="shared" si="12"/>
        <v>55000</v>
      </c>
      <c r="L250" s="354"/>
      <c r="M250" s="406"/>
      <c r="N250" s="67"/>
    </row>
    <row r="251" spans="2:14" ht="18.75" x14ac:dyDescent="0.3">
      <c r="B251" s="377" t="s">
        <v>17</v>
      </c>
      <c r="C251" s="378"/>
      <c r="D251" s="378"/>
      <c r="E251" s="378"/>
      <c r="F251" s="378"/>
      <c r="G251" s="379"/>
      <c r="H251" s="53"/>
      <c r="I251" s="53"/>
      <c r="J251" s="53"/>
      <c r="K251" s="55">
        <f>SUM(K227:K250)</f>
        <v>4066236</v>
      </c>
      <c r="L251" s="53"/>
      <c r="M251" s="54">
        <f>SUM(M226:M250)</f>
        <v>8033180</v>
      </c>
      <c r="N251" s="53"/>
    </row>
    <row r="252" spans="2:14" ht="18.75" x14ac:dyDescent="0.3">
      <c r="B252" s="401" t="s">
        <v>261</v>
      </c>
      <c r="C252" s="402"/>
      <c r="D252" s="402"/>
      <c r="E252" s="402"/>
      <c r="F252" s="402"/>
      <c r="G252" s="402"/>
      <c r="H252" s="402"/>
      <c r="I252" s="402"/>
      <c r="J252" s="402"/>
      <c r="K252" s="402"/>
      <c r="L252" s="402"/>
      <c r="M252" s="402"/>
      <c r="N252" s="403"/>
    </row>
    <row r="253" spans="2:14" ht="15.75" x14ac:dyDescent="0.25">
      <c r="B253" s="355">
        <v>7</v>
      </c>
      <c r="C253" s="355" t="s">
        <v>262</v>
      </c>
      <c r="D253" s="30" t="s">
        <v>263</v>
      </c>
      <c r="E253" s="352" t="s">
        <v>264</v>
      </c>
      <c r="F253" s="374" t="s">
        <v>37</v>
      </c>
      <c r="G253" s="32"/>
      <c r="H253" s="32"/>
      <c r="I253" s="32"/>
      <c r="J253" s="32"/>
      <c r="K253" s="123"/>
      <c r="L253" s="355" t="s">
        <v>265</v>
      </c>
      <c r="M253" s="123">
        <v>93058</v>
      </c>
      <c r="N253" s="3"/>
    </row>
    <row r="254" spans="2:14" ht="15.75" x14ac:dyDescent="0.25">
      <c r="B254" s="364"/>
      <c r="C254" s="364"/>
      <c r="D254" s="30" t="s">
        <v>266</v>
      </c>
      <c r="E254" s="353"/>
      <c r="F254" s="375"/>
      <c r="G254" s="32"/>
      <c r="H254" s="32"/>
      <c r="I254" s="32"/>
      <c r="J254" s="32"/>
      <c r="K254" s="123"/>
      <c r="L254" s="364"/>
      <c r="M254" s="123">
        <v>93058</v>
      </c>
      <c r="N254" s="3"/>
    </row>
    <row r="255" spans="2:14" ht="15.75" x14ac:dyDescent="0.25">
      <c r="B255" s="364"/>
      <c r="C255" s="364"/>
      <c r="D255" s="30" t="s">
        <v>267</v>
      </c>
      <c r="E255" s="353"/>
      <c r="F255" s="375"/>
      <c r="G255" s="32"/>
      <c r="H255" s="32"/>
      <c r="I255" s="32"/>
      <c r="J255" s="32"/>
      <c r="K255" s="123"/>
      <c r="L255" s="364"/>
      <c r="M255" s="123">
        <v>93058</v>
      </c>
      <c r="N255" s="3"/>
    </row>
    <row r="256" spans="2:14" ht="47.25" x14ac:dyDescent="0.25">
      <c r="B256" s="365"/>
      <c r="C256" s="365"/>
      <c r="D256" s="30" t="s">
        <v>268</v>
      </c>
      <c r="E256" s="354"/>
      <c r="F256" s="376"/>
      <c r="G256" s="32"/>
      <c r="H256" s="32"/>
      <c r="I256" s="32"/>
      <c r="J256" s="32"/>
      <c r="K256" s="123"/>
      <c r="L256" s="365"/>
      <c r="M256" s="123">
        <v>122906</v>
      </c>
      <c r="N256" s="6"/>
    </row>
    <row r="257" spans="1:14" ht="18.75" x14ac:dyDescent="0.3">
      <c r="B257" s="377" t="s">
        <v>17</v>
      </c>
      <c r="C257" s="378"/>
      <c r="D257" s="378"/>
      <c r="E257" s="378"/>
      <c r="F257" s="378"/>
      <c r="G257" s="379"/>
      <c r="H257" s="53"/>
      <c r="I257" s="53"/>
      <c r="J257" s="53"/>
      <c r="K257" s="55">
        <f>K253+K254+K255+K256</f>
        <v>0</v>
      </c>
      <c r="L257" s="53"/>
      <c r="M257" s="55">
        <f>SUM(M253:M256)</f>
        <v>402080</v>
      </c>
      <c r="N257" s="53"/>
    </row>
    <row r="258" spans="1:14" ht="18.75" x14ac:dyDescent="0.3">
      <c r="B258" s="407" t="s">
        <v>14</v>
      </c>
      <c r="C258" s="407"/>
      <c r="D258" s="407"/>
      <c r="E258" s="407"/>
      <c r="F258" s="407"/>
      <c r="G258" s="407"/>
      <c r="H258" s="407"/>
      <c r="I258" s="407"/>
      <c r="J258" s="407"/>
      <c r="K258" s="407"/>
      <c r="L258" s="407"/>
      <c r="M258" s="407"/>
      <c r="N258" s="407"/>
    </row>
    <row r="259" spans="1:14" ht="45" customHeight="1" x14ac:dyDescent="0.25">
      <c r="B259" s="2">
        <v>8</v>
      </c>
      <c r="C259" s="2" t="s">
        <v>38</v>
      </c>
      <c r="D259" s="2" t="s">
        <v>269</v>
      </c>
      <c r="E259" s="2" t="s">
        <v>270</v>
      </c>
      <c r="F259" s="185" t="s">
        <v>973</v>
      </c>
      <c r="G259" s="32" t="s">
        <v>976</v>
      </c>
      <c r="H259" s="32" t="s">
        <v>23</v>
      </c>
      <c r="I259" s="32">
        <v>2</v>
      </c>
      <c r="J259" s="32">
        <v>60000</v>
      </c>
      <c r="K259" s="123">
        <f t="shared" ref="K259:K264" si="13">J259*I259</f>
        <v>120000</v>
      </c>
      <c r="L259" s="2" t="s">
        <v>29</v>
      </c>
      <c r="M259" s="124">
        <f t="shared" ref="M259:M267" si="14">K259</f>
        <v>120000</v>
      </c>
      <c r="N259" s="2"/>
    </row>
    <row r="260" spans="1:14" ht="48" customHeight="1" x14ac:dyDescent="0.25">
      <c r="B260" s="2">
        <v>9</v>
      </c>
      <c r="C260" s="2"/>
      <c r="D260" s="2"/>
      <c r="E260" s="2" t="s">
        <v>1042</v>
      </c>
      <c r="F260" s="185" t="s">
        <v>1041</v>
      </c>
      <c r="G260" s="32"/>
      <c r="H260" s="32" t="s">
        <v>23</v>
      </c>
      <c r="I260" s="32">
        <v>4</v>
      </c>
      <c r="J260" s="32">
        <v>21500</v>
      </c>
      <c r="K260" s="123">
        <f t="shared" si="13"/>
        <v>86000</v>
      </c>
      <c r="L260" s="2" t="s">
        <v>29</v>
      </c>
      <c r="M260" s="124">
        <f t="shared" si="14"/>
        <v>86000</v>
      </c>
      <c r="N260" s="2"/>
    </row>
    <row r="261" spans="1:14" ht="41.25" customHeight="1" x14ac:dyDescent="0.25">
      <c r="B261" s="2">
        <v>10</v>
      </c>
      <c r="C261" s="2" t="s">
        <v>38</v>
      </c>
      <c r="D261" s="2" t="s">
        <v>271</v>
      </c>
      <c r="E261" s="2" t="s">
        <v>272</v>
      </c>
      <c r="F261" s="185" t="s">
        <v>273</v>
      </c>
      <c r="G261" s="32" t="s">
        <v>975</v>
      </c>
      <c r="H261" s="32" t="s">
        <v>23</v>
      </c>
      <c r="I261" s="32">
        <v>1</v>
      </c>
      <c r="J261" s="32">
        <v>145000</v>
      </c>
      <c r="K261" s="123">
        <f t="shared" si="13"/>
        <v>145000</v>
      </c>
      <c r="L261" s="2" t="s">
        <v>29</v>
      </c>
      <c r="M261" s="124">
        <f t="shared" si="14"/>
        <v>145000</v>
      </c>
      <c r="N261" s="2" t="s">
        <v>974</v>
      </c>
    </row>
    <row r="262" spans="1:14" ht="41.25" customHeight="1" x14ac:dyDescent="0.25">
      <c r="B262" s="2">
        <v>11</v>
      </c>
      <c r="C262" s="2" t="s">
        <v>38</v>
      </c>
      <c r="D262" s="32"/>
      <c r="E262" s="32" t="s">
        <v>1043</v>
      </c>
      <c r="F262" s="193" t="s">
        <v>978</v>
      </c>
      <c r="G262" s="32"/>
      <c r="H262" s="32" t="s">
        <v>274</v>
      </c>
      <c r="I262" s="32">
        <v>4</v>
      </c>
      <c r="J262" s="32">
        <v>21700</v>
      </c>
      <c r="K262" s="123">
        <f t="shared" si="13"/>
        <v>86800</v>
      </c>
      <c r="L262" s="2" t="s">
        <v>29</v>
      </c>
      <c r="M262" s="123">
        <f t="shared" si="14"/>
        <v>86800</v>
      </c>
      <c r="N262" s="2"/>
    </row>
    <row r="263" spans="1:14" ht="56.25" customHeight="1" x14ac:dyDescent="0.25">
      <c r="B263" s="2">
        <v>12</v>
      </c>
      <c r="C263" s="2" t="s">
        <v>38</v>
      </c>
      <c r="D263" s="2" t="s">
        <v>275</v>
      </c>
      <c r="E263" s="2" t="s">
        <v>93</v>
      </c>
      <c r="F263" s="193" t="s">
        <v>411</v>
      </c>
      <c r="G263" s="32" t="s">
        <v>410</v>
      </c>
      <c r="H263" s="32" t="s">
        <v>23</v>
      </c>
      <c r="I263" s="32">
        <v>4</v>
      </c>
      <c r="J263" s="32">
        <v>45240</v>
      </c>
      <c r="K263" s="123">
        <f t="shared" si="13"/>
        <v>180960</v>
      </c>
      <c r="L263" s="2" t="s">
        <v>29</v>
      </c>
      <c r="M263" s="123">
        <f t="shared" si="14"/>
        <v>180960</v>
      </c>
      <c r="N263" s="2"/>
    </row>
    <row r="264" spans="1:14" ht="54" customHeight="1" x14ac:dyDescent="0.25">
      <c r="B264" s="352">
        <v>13</v>
      </c>
      <c r="C264" s="352" t="s">
        <v>38</v>
      </c>
      <c r="D264" s="352" t="s">
        <v>276</v>
      </c>
      <c r="E264" s="355" t="s">
        <v>986</v>
      </c>
      <c r="F264" s="187" t="s">
        <v>1170</v>
      </c>
      <c r="G264" s="32"/>
      <c r="H264" s="32" t="s">
        <v>23</v>
      </c>
      <c r="I264" s="32">
        <v>5</v>
      </c>
      <c r="J264" s="32">
        <v>196000</v>
      </c>
      <c r="K264" s="123">
        <f t="shared" si="13"/>
        <v>980000</v>
      </c>
      <c r="L264" s="352" t="s">
        <v>29</v>
      </c>
      <c r="M264" s="123">
        <f t="shared" si="14"/>
        <v>980000</v>
      </c>
      <c r="N264" s="2"/>
    </row>
    <row r="265" spans="1:14" ht="66.75" customHeight="1" x14ac:dyDescent="0.25">
      <c r="B265" s="354"/>
      <c r="C265" s="354"/>
      <c r="D265" s="354"/>
      <c r="E265" s="365"/>
      <c r="F265" s="187" t="s">
        <v>1201</v>
      </c>
      <c r="G265" s="32"/>
      <c r="H265" s="32" t="s">
        <v>23</v>
      </c>
      <c r="I265" s="32">
        <v>240</v>
      </c>
      <c r="J265" s="32">
        <v>560</v>
      </c>
      <c r="K265" s="123">
        <f>I265*J265</f>
        <v>134400</v>
      </c>
      <c r="L265" s="354"/>
      <c r="M265" s="123">
        <f t="shared" si="14"/>
        <v>134400</v>
      </c>
      <c r="N265" s="2"/>
    </row>
    <row r="266" spans="1:14" ht="31.5" x14ac:dyDescent="0.25">
      <c r="B266" s="2">
        <v>14</v>
      </c>
      <c r="C266" s="2" t="s">
        <v>24</v>
      </c>
      <c r="D266" s="2" t="s">
        <v>277</v>
      </c>
      <c r="E266" s="2" t="s">
        <v>278</v>
      </c>
      <c r="F266" s="185" t="s">
        <v>279</v>
      </c>
      <c r="G266" s="32" t="s">
        <v>979</v>
      </c>
      <c r="H266" s="32" t="s">
        <v>23</v>
      </c>
      <c r="I266" s="32">
        <v>1</v>
      </c>
      <c r="J266" s="32">
        <v>109662</v>
      </c>
      <c r="K266" s="123">
        <f>I266*J266</f>
        <v>109662</v>
      </c>
      <c r="L266" s="32" t="s">
        <v>184</v>
      </c>
      <c r="M266" s="123">
        <f t="shared" si="14"/>
        <v>109662</v>
      </c>
      <c r="N266" s="2"/>
    </row>
    <row r="267" spans="1:14" ht="31.5" x14ac:dyDescent="0.25">
      <c r="B267" s="2">
        <v>15</v>
      </c>
      <c r="C267" s="2" t="s">
        <v>24</v>
      </c>
      <c r="D267" s="2" t="s">
        <v>280</v>
      </c>
      <c r="E267" s="2" t="s">
        <v>281</v>
      </c>
      <c r="F267" s="185" t="s">
        <v>282</v>
      </c>
      <c r="G267" s="32" t="s">
        <v>980</v>
      </c>
      <c r="H267" s="32" t="s">
        <v>23</v>
      </c>
      <c r="I267" s="32">
        <v>1</v>
      </c>
      <c r="J267" s="32">
        <v>292219</v>
      </c>
      <c r="K267" s="123">
        <f>J267*I267</f>
        <v>292219</v>
      </c>
      <c r="L267" s="32" t="s">
        <v>184</v>
      </c>
      <c r="M267" s="123">
        <f t="shared" si="14"/>
        <v>292219</v>
      </c>
      <c r="N267" s="2"/>
    </row>
    <row r="268" spans="1:14" ht="31.5" x14ac:dyDescent="0.25">
      <c r="B268" s="95">
        <v>16</v>
      </c>
      <c r="C268" s="95" t="s">
        <v>24</v>
      </c>
      <c r="D268" s="95" t="s">
        <v>283</v>
      </c>
      <c r="E268" s="95" t="s">
        <v>284</v>
      </c>
      <c r="F268" s="88" t="s">
        <v>285</v>
      </c>
      <c r="G268" s="95" t="s">
        <v>982</v>
      </c>
      <c r="H268" s="95" t="s">
        <v>23</v>
      </c>
      <c r="I268" s="95">
        <v>1</v>
      </c>
      <c r="J268" s="95"/>
      <c r="K268" s="194"/>
      <c r="L268" s="95"/>
      <c r="M268" s="194">
        <f>L268</f>
        <v>0</v>
      </c>
      <c r="N268" s="95" t="s">
        <v>412</v>
      </c>
    </row>
    <row r="269" spans="1:14" ht="45" customHeight="1" x14ac:dyDescent="0.25">
      <c r="B269" s="2">
        <v>17</v>
      </c>
      <c r="C269" s="2" t="s">
        <v>38</v>
      </c>
      <c r="D269" s="2" t="s">
        <v>286</v>
      </c>
      <c r="E269" s="2" t="s">
        <v>287</v>
      </c>
      <c r="F269" s="185" t="s">
        <v>288</v>
      </c>
      <c r="G269" s="32" t="s">
        <v>981</v>
      </c>
      <c r="H269" s="32" t="s">
        <v>243</v>
      </c>
      <c r="I269" s="32">
        <v>2</v>
      </c>
      <c r="J269" s="32">
        <v>27650</v>
      </c>
      <c r="K269" s="123">
        <f t="shared" ref="K269:K277" si="15">J269*I269</f>
        <v>55300</v>
      </c>
      <c r="L269" s="32" t="s">
        <v>184</v>
      </c>
      <c r="M269" s="123">
        <f t="shared" ref="M269:M274" si="16">K269</f>
        <v>55300</v>
      </c>
      <c r="N269" s="2"/>
    </row>
    <row r="270" spans="1:14" ht="47.25" x14ac:dyDescent="0.25">
      <c r="B270" s="2">
        <v>18</v>
      </c>
      <c r="C270" s="2" t="s">
        <v>38</v>
      </c>
      <c r="D270" s="2" t="s">
        <v>289</v>
      </c>
      <c r="E270" s="2" t="s">
        <v>290</v>
      </c>
      <c r="F270" s="185" t="s">
        <v>291</v>
      </c>
      <c r="G270" s="32"/>
      <c r="H270" s="32" t="s">
        <v>292</v>
      </c>
      <c r="I270" s="32">
        <v>1</v>
      </c>
      <c r="J270" s="32">
        <v>98730</v>
      </c>
      <c r="K270" s="123">
        <f t="shared" si="15"/>
        <v>98730</v>
      </c>
      <c r="L270" s="32" t="s">
        <v>184</v>
      </c>
      <c r="M270" s="123">
        <f t="shared" si="16"/>
        <v>98730</v>
      </c>
      <c r="N270" s="2"/>
    </row>
    <row r="271" spans="1:14" ht="15.75" x14ac:dyDescent="0.25">
      <c r="A271" s="68"/>
      <c r="B271" s="32">
        <v>19</v>
      </c>
      <c r="C271" s="32" t="s">
        <v>38</v>
      </c>
      <c r="D271" s="32" t="s">
        <v>320</v>
      </c>
      <c r="E271" s="32" t="s">
        <v>983</v>
      </c>
      <c r="F271" s="185" t="s">
        <v>293</v>
      </c>
      <c r="G271" s="32"/>
      <c r="H271" s="32" t="s">
        <v>23</v>
      </c>
      <c r="I271" s="32">
        <v>10</v>
      </c>
      <c r="J271" s="32">
        <v>3250</v>
      </c>
      <c r="K271" s="123">
        <f t="shared" si="15"/>
        <v>32500</v>
      </c>
      <c r="L271" s="32" t="s">
        <v>184</v>
      </c>
      <c r="M271" s="123">
        <f t="shared" si="16"/>
        <v>32500</v>
      </c>
      <c r="N271" s="2"/>
    </row>
    <row r="272" spans="1:14" ht="31.5" x14ac:dyDescent="0.25">
      <c r="A272" s="68"/>
      <c r="B272" s="32">
        <v>20</v>
      </c>
      <c r="C272" s="32" t="s">
        <v>38</v>
      </c>
      <c r="D272" s="32" t="s">
        <v>320</v>
      </c>
      <c r="E272" s="32" t="s">
        <v>984</v>
      </c>
      <c r="F272" s="185" t="s">
        <v>985</v>
      </c>
      <c r="G272" s="32"/>
      <c r="H272" s="32" t="s">
        <v>23</v>
      </c>
      <c r="I272" s="32">
        <v>8</v>
      </c>
      <c r="J272" s="32">
        <v>3250</v>
      </c>
      <c r="K272" s="123">
        <f t="shared" si="15"/>
        <v>26000</v>
      </c>
      <c r="L272" s="32" t="s">
        <v>184</v>
      </c>
      <c r="M272" s="123">
        <f t="shared" si="16"/>
        <v>26000</v>
      </c>
      <c r="N272" s="2"/>
    </row>
    <row r="273" spans="2:14" ht="56.25" customHeight="1" x14ac:dyDescent="0.25">
      <c r="B273" s="2">
        <v>21</v>
      </c>
      <c r="C273" s="2" t="s">
        <v>38</v>
      </c>
      <c r="D273" s="2" t="s">
        <v>294</v>
      </c>
      <c r="E273" s="2" t="s">
        <v>295</v>
      </c>
      <c r="F273" s="185" t="s">
        <v>296</v>
      </c>
      <c r="G273" s="32" t="s">
        <v>297</v>
      </c>
      <c r="H273" s="32" t="s">
        <v>57</v>
      </c>
      <c r="I273" s="32">
        <v>1</v>
      </c>
      <c r="J273" s="32">
        <v>1322040</v>
      </c>
      <c r="K273" s="123">
        <f t="shared" si="15"/>
        <v>1322040</v>
      </c>
      <c r="L273" s="32" t="s">
        <v>184</v>
      </c>
      <c r="M273" s="123">
        <f t="shared" si="16"/>
        <v>1322040</v>
      </c>
      <c r="N273" s="2"/>
    </row>
    <row r="274" spans="2:14" ht="53.25" customHeight="1" x14ac:dyDescent="0.25">
      <c r="B274" s="2">
        <v>22</v>
      </c>
      <c r="C274" s="2" t="s">
        <v>38</v>
      </c>
      <c r="D274" s="2" t="s">
        <v>294</v>
      </c>
      <c r="E274" s="2" t="s">
        <v>295</v>
      </c>
      <c r="F274" s="185" t="s">
        <v>298</v>
      </c>
      <c r="G274" s="32" t="s">
        <v>299</v>
      </c>
      <c r="H274" s="32" t="s">
        <v>23</v>
      </c>
      <c r="I274" s="32">
        <v>1</v>
      </c>
      <c r="J274" s="32">
        <v>1308000</v>
      </c>
      <c r="K274" s="123">
        <f t="shared" si="15"/>
        <v>1308000</v>
      </c>
      <c r="L274" s="32" t="s">
        <v>184</v>
      </c>
      <c r="M274" s="123">
        <f t="shared" si="16"/>
        <v>1308000</v>
      </c>
      <c r="N274" s="2"/>
    </row>
    <row r="275" spans="2:14" ht="39" customHeight="1" x14ac:dyDescent="0.25">
      <c r="B275" s="352">
        <v>23</v>
      </c>
      <c r="C275" s="352" t="s">
        <v>38</v>
      </c>
      <c r="D275" s="352"/>
      <c r="E275" s="352" t="s">
        <v>1040</v>
      </c>
      <c r="F275" s="185" t="s">
        <v>1029</v>
      </c>
      <c r="G275" s="32"/>
      <c r="H275" s="32" t="s">
        <v>23</v>
      </c>
      <c r="I275" s="32">
        <v>4</v>
      </c>
      <c r="J275" s="32">
        <v>42000</v>
      </c>
      <c r="K275" s="123">
        <f t="shared" si="15"/>
        <v>168000</v>
      </c>
      <c r="L275" s="355" t="s">
        <v>184</v>
      </c>
      <c r="M275" s="393">
        <f>K275+K276</f>
        <v>342000</v>
      </c>
      <c r="N275" s="2"/>
    </row>
    <row r="276" spans="2:14" ht="53.25" customHeight="1" x14ac:dyDescent="0.25">
      <c r="B276" s="354"/>
      <c r="C276" s="354"/>
      <c r="D276" s="354"/>
      <c r="E276" s="354"/>
      <c r="F276" s="185" t="s">
        <v>977</v>
      </c>
      <c r="G276" s="32"/>
      <c r="H276" s="32" t="s">
        <v>23</v>
      </c>
      <c r="I276" s="32">
        <v>4</v>
      </c>
      <c r="J276" s="32">
        <v>43500</v>
      </c>
      <c r="K276" s="123">
        <f t="shared" si="15"/>
        <v>174000</v>
      </c>
      <c r="L276" s="365"/>
      <c r="M276" s="394"/>
      <c r="N276" s="2"/>
    </row>
    <row r="277" spans="2:14" ht="53.25" customHeight="1" x14ac:dyDescent="0.25">
      <c r="B277" s="2">
        <v>24</v>
      </c>
      <c r="C277" s="2" t="s">
        <v>38</v>
      </c>
      <c r="D277" s="2" t="s">
        <v>314</v>
      </c>
      <c r="E277" s="2" t="s">
        <v>987</v>
      </c>
      <c r="F277" s="185" t="s">
        <v>1200</v>
      </c>
      <c r="G277" s="32"/>
      <c r="H277" s="32" t="s">
        <v>23</v>
      </c>
      <c r="I277" s="32">
        <v>2</v>
      </c>
      <c r="J277" s="32">
        <v>58500</v>
      </c>
      <c r="K277" s="123">
        <f t="shared" si="15"/>
        <v>117000</v>
      </c>
      <c r="L277" s="32" t="s">
        <v>184</v>
      </c>
      <c r="M277" s="123">
        <f>K277</f>
        <v>117000</v>
      </c>
      <c r="N277" s="2"/>
    </row>
    <row r="278" spans="2:14" ht="30.75" customHeight="1" x14ac:dyDescent="0.3">
      <c r="B278" s="377" t="s">
        <v>17</v>
      </c>
      <c r="C278" s="378"/>
      <c r="D278" s="378"/>
      <c r="E278" s="378"/>
      <c r="F278" s="378"/>
      <c r="G278" s="379"/>
      <c r="H278" s="53"/>
      <c r="I278" s="53"/>
      <c r="J278" s="53"/>
      <c r="K278" s="55">
        <f>SUM(K259:K277)</f>
        <v>5436611</v>
      </c>
      <c r="L278" s="53"/>
      <c r="M278" s="55">
        <f>SUM(M259:M277)</f>
        <v>5436611</v>
      </c>
      <c r="N278" s="53"/>
    </row>
    <row r="279" spans="2:14" ht="25.5" customHeight="1" x14ac:dyDescent="0.3">
      <c r="B279" s="407" t="s">
        <v>16</v>
      </c>
      <c r="C279" s="407"/>
      <c r="D279" s="407"/>
      <c r="E279" s="407"/>
      <c r="F279" s="407"/>
      <c r="G279" s="407"/>
      <c r="H279" s="407"/>
      <c r="I279" s="407"/>
      <c r="J279" s="407"/>
      <c r="K279" s="407"/>
      <c r="L279" s="407"/>
      <c r="M279" s="407"/>
      <c r="N279" s="407"/>
    </row>
    <row r="280" spans="2:14" ht="91.5" customHeight="1" x14ac:dyDescent="0.25">
      <c r="B280" s="10">
        <v>25</v>
      </c>
      <c r="C280" s="10" t="s">
        <v>38</v>
      </c>
      <c r="D280" s="120" t="s">
        <v>302</v>
      </c>
      <c r="E280" s="120" t="s">
        <v>762</v>
      </c>
      <c r="F280" s="23" t="s">
        <v>399</v>
      </c>
      <c r="G280" s="120" t="s">
        <v>763</v>
      </c>
      <c r="H280" s="15"/>
      <c r="I280" s="3"/>
      <c r="J280" s="15"/>
      <c r="K280" s="15"/>
      <c r="L280" s="120" t="s">
        <v>903</v>
      </c>
      <c r="M280" s="69">
        <v>4002667</v>
      </c>
      <c r="N280" s="121"/>
    </row>
    <row r="281" spans="2:14" ht="39" customHeight="1" x14ac:dyDescent="0.25">
      <c r="B281" s="363">
        <v>26</v>
      </c>
      <c r="C281" s="360" t="s">
        <v>38</v>
      </c>
      <c r="D281" s="352" t="s">
        <v>300</v>
      </c>
      <c r="E281" s="355" t="s">
        <v>752</v>
      </c>
      <c r="F281" s="207" t="s">
        <v>1173</v>
      </c>
      <c r="G281" s="355" t="s">
        <v>753</v>
      </c>
      <c r="H281" s="15" t="s">
        <v>56</v>
      </c>
      <c r="I281" s="15">
        <v>4.7</v>
      </c>
      <c r="J281" s="70">
        <v>71500</v>
      </c>
      <c r="K281" s="84">
        <f>I281*J281</f>
        <v>336050</v>
      </c>
      <c r="L281" s="360" t="s">
        <v>416</v>
      </c>
      <c r="M281" s="404">
        <f>K281+K282+K283</f>
        <v>574314</v>
      </c>
      <c r="N281" s="360"/>
    </row>
    <row r="282" spans="2:14" ht="37.5" customHeight="1" x14ac:dyDescent="0.25">
      <c r="B282" s="363"/>
      <c r="C282" s="361"/>
      <c r="D282" s="353"/>
      <c r="E282" s="356"/>
      <c r="F282" s="207" t="s">
        <v>1174</v>
      </c>
      <c r="G282" s="358"/>
      <c r="H282" s="15" t="s">
        <v>23</v>
      </c>
      <c r="I282" s="15">
        <v>8</v>
      </c>
      <c r="J282" s="70">
        <v>2760</v>
      </c>
      <c r="K282" s="84">
        <f t="shared" ref="K282:K302" si="17">I282*J282</f>
        <v>22080</v>
      </c>
      <c r="L282" s="361"/>
      <c r="M282" s="405"/>
      <c r="N282" s="361"/>
    </row>
    <row r="283" spans="2:14" ht="67.5" customHeight="1" x14ac:dyDescent="0.25">
      <c r="B283" s="363"/>
      <c r="C283" s="361"/>
      <c r="D283" s="353"/>
      <c r="E283" s="357"/>
      <c r="F283" s="207" t="s">
        <v>754</v>
      </c>
      <c r="G283" s="359"/>
      <c r="H283" s="15" t="s">
        <v>134</v>
      </c>
      <c r="I283" s="15">
        <v>244</v>
      </c>
      <c r="J283" s="70">
        <v>886</v>
      </c>
      <c r="K283" s="84">
        <f t="shared" si="17"/>
        <v>216184</v>
      </c>
      <c r="L283" s="362"/>
      <c r="M283" s="406"/>
      <c r="N283" s="362"/>
    </row>
    <row r="284" spans="2:14" ht="38.25" customHeight="1" x14ac:dyDescent="0.25">
      <c r="B284" s="363"/>
      <c r="C284" s="361"/>
      <c r="D284" s="353"/>
      <c r="E284" s="355" t="s">
        <v>755</v>
      </c>
      <c r="F284" s="207" t="s">
        <v>756</v>
      </c>
      <c r="G284" s="355" t="s">
        <v>757</v>
      </c>
      <c r="H284" s="15" t="s">
        <v>56</v>
      </c>
      <c r="I284" s="15">
        <v>0.7</v>
      </c>
      <c r="J284" s="70">
        <v>68000</v>
      </c>
      <c r="K284" s="84">
        <f t="shared" si="17"/>
        <v>47600</v>
      </c>
      <c r="L284" s="360" t="s">
        <v>416</v>
      </c>
      <c r="M284" s="398">
        <f>K284+K286+K285</f>
        <v>146760</v>
      </c>
      <c r="N284" s="369"/>
    </row>
    <row r="285" spans="2:14" ht="38.25" customHeight="1" x14ac:dyDescent="0.25">
      <c r="B285" s="363"/>
      <c r="C285" s="361"/>
      <c r="D285" s="353"/>
      <c r="E285" s="358"/>
      <c r="F285" s="207" t="s">
        <v>746</v>
      </c>
      <c r="G285" s="358"/>
      <c r="H285" s="15" t="s">
        <v>23</v>
      </c>
      <c r="I285" s="15">
        <v>16</v>
      </c>
      <c r="J285" s="70">
        <v>510</v>
      </c>
      <c r="K285" s="84">
        <f t="shared" si="17"/>
        <v>8160</v>
      </c>
      <c r="L285" s="361"/>
      <c r="M285" s="399"/>
      <c r="N285" s="370"/>
    </row>
    <row r="286" spans="2:14" ht="71.25" customHeight="1" x14ac:dyDescent="0.25">
      <c r="B286" s="363"/>
      <c r="C286" s="362"/>
      <c r="D286" s="354"/>
      <c r="E286" s="359"/>
      <c r="F286" s="207" t="s">
        <v>414</v>
      </c>
      <c r="G286" s="359"/>
      <c r="H286" s="15" t="s">
        <v>134</v>
      </c>
      <c r="I286" s="15">
        <v>130</v>
      </c>
      <c r="J286" s="70">
        <v>700</v>
      </c>
      <c r="K286" s="84">
        <f t="shared" si="17"/>
        <v>91000</v>
      </c>
      <c r="L286" s="362"/>
      <c r="M286" s="400"/>
      <c r="N286" s="371"/>
    </row>
    <row r="287" spans="2:14" ht="31.5" x14ac:dyDescent="0.25">
      <c r="B287" s="363">
        <v>27</v>
      </c>
      <c r="C287" s="360" t="s">
        <v>38</v>
      </c>
      <c r="D287" s="355" t="s">
        <v>988</v>
      </c>
      <c r="E287" s="355" t="s">
        <v>758</v>
      </c>
      <c r="F287" s="207" t="s">
        <v>759</v>
      </c>
      <c r="G287" s="355" t="s">
        <v>760</v>
      </c>
      <c r="H287" s="15" t="s">
        <v>56</v>
      </c>
      <c r="I287" s="15">
        <v>1.5</v>
      </c>
      <c r="J287" s="70">
        <v>68000</v>
      </c>
      <c r="K287" s="84">
        <f t="shared" si="17"/>
        <v>102000</v>
      </c>
      <c r="L287" s="360" t="s">
        <v>415</v>
      </c>
      <c r="M287" s="398">
        <f>K287+K289+K288</f>
        <v>203060</v>
      </c>
      <c r="N287" s="369"/>
    </row>
    <row r="288" spans="2:14" ht="43.5" customHeight="1" x14ac:dyDescent="0.25">
      <c r="B288" s="363"/>
      <c r="C288" s="361"/>
      <c r="D288" s="356"/>
      <c r="E288" s="356"/>
      <c r="F288" s="207" t="s">
        <v>746</v>
      </c>
      <c r="G288" s="356"/>
      <c r="H288" s="15" t="s">
        <v>23</v>
      </c>
      <c r="I288" s="15">
        <v>6</v>
      </c>
      <c r="J288" s="70">
        <v>510</v>
      </c>
      <c r="K288" s="84">
        <f t="shared" si="17"/>
        <v>3060</v>
      </c>
      <c r="L288" s="361"/>
      <c r="M288" s="399"/>
      <c r="N288" s="370"/>
    </row>
    <row r="289" spans="2:14" ht="31.5" x14ac:dyDescent="0.25">
      <c r="B289" s="363"/>
      <c r="C289" s="362"/>
      <c r="D289" s="357"/>
      <c r="E289" s="357"/>
      <c r="F289" s="207" t="s">
        <v>414</v>
      </c>
      <c r="G289" s="357"/>
      <c r="H289" s="15" t="s">
        <v>134</v>
      </c>
      <c r="I289" s="15">
        <v>140</v>
      </c>
      <c r="J289" s="70">
        <v>700</v>
      </c>
      <c r="K289" s="84">
        <f t="shared" si="17"/>
        <v>98000</v>
      </c>
      <c r="L289" s="362"/>
      <c r="M289" s="400"/>
      <c r="N289" s="371"/>
    </row>
    <row r="290" spans="2:14" ht="31.5" x14ac:dyDescent="0.25">
      <c r="B290" s="363">
        <v>28</v>
      </c>
      <c r="C290" s="360" t="s">
        <v>38</v>
      </c>
      <c r="D290" s="355" t="s">
        <v>989</v>
      </c>
      <c r="E290" s="355" t="s">
        <v>301</v>
      </c>
      <c r="F290" s="207" t="s">
        <v>1175</v>
      </c>
      <c r="G290" s="355" t="s">
        <v>761</v>
      </c>
      <c r="H290" s="15" t="s">
        <v>56</v>
      </c>
      <c r="I290" s="15">
        <v>17.8</v>
      </c>
      <c r="J290" s="70">
        <v>89500</v>
      </c>
      <c r="K290" s="84">
        <f t="shared" si="17"/>
        <v>1593100</v>
      </c>
      <c r="L290" s="360" t="s">
        <v>415</v>
      </c>
      <c r="M290" s="398">
        <f>K290+K291+K292</f>
        <v>2104780</v>
      </c>
      <c r="N290" s="369"/>
    </row>
    <row r="291" spans="2:14" ht="15.75" x14ac:dyDescent="0.25">
      <c r="B291" s="363"/>
      <c r="C291" s="361"/>
      <c r="D291" s="356"/>
      <c r="E291" s="356"/>
      <c r="F291" s="207" t="s">
        <v>745</v>
      </c>
      <c r="G291" s="356"/>
      <c r="H291" s="15" t="s">
        <v>23</v>
      </c>
      <c r="I291" s="15">
        <v>18</v>
      </c>
      <c r="J291" s="70">
        <v>4400</v>
      </c>
      <c r="K291" s="84">
        <f t="shared" si="17"/>
        <v>79200</v>
      </c>
      <c r="L291" s="361"/>
      <c r="M291" s="399"/>
      <c r="N291" s="370"/>
    </row>
    <row r="292" spans="2:14" ht="31.5" x14ac:dyDescent="0.25">
      <c r="B292" s="363"/>
      <c r="C292" s="362"/>
      <c r="D292" s="357"/>
      <c r="E292" s="357"/>
      <c r="F292" s="207" t="s">
        <v>421</v>
      </c>
      <c r="G292" s="357"/>
      <c r="H292" s="15" t="s">
        <v>134</v>
      </c>
      <c r="I292" s="15">
        <v>340</v>
      </c>
      <c r="J292" s="70">
        <v>1272</v>
      </c>
      <c r="K292" s="84">
        <f t="shared" si="17"/>
        <v>432480</v>
      </c>
      <c r="L292" s="362"/>
      <c r="M292" s="400"/>
      <c r="N292" s="371"/>
    </row>
    <row r="293" spans="2:14" ht="31.5" customHeight="1" x14ac:dyDescent="0.25">
      <c r="B293" s="360">
        <v>29</v>
      </c>
      <c r="C293" s="360" t="s">
        <v>38</v>
      </c>
      <c r="D293" s="352" t="s">
        <v>765</v>
      </c>
      <c r="E293" s="355" t="s">
        <v>1177</v>
      </c>
      <c r="F293" s="210" t="s">
        <v>1176</v>
      </c>
      <c r="G293" s="355" t="s">
        <v>1178</v>
      </c>
      <c r="H293" s="16" t="s">
        <v>56</v>
      </c>
      <c r="I293" s="16">
        <v>1.1000000000000001</v>
      </c>
      <c r="J293" s="70">
        <v>62000</v>
      </c>
      <c r="K293" s="84">
        <f t="shared" si="17"/>
        <v>68200</v>
      </c>
      <c r="L293" s="361" t="s">
        <v>415</v>
      </c>
      <c r="M293" s="398">
        <f>SUM(K293:K302)</f>
        <v>596460</v>
      </c>
      <c r="N293" s="369"/>
    </row>
    <row r="294" spans="2:14" ht="36.75" customHeight="1" x14ac:dyDescent="0.25">
      <c r="B294" s="361"/>
      <c r="C294" s="361"/>
      <c r="D294" s="353"/>
      <c r="E294" s="364"/>
      <c r="F294" s="207" t="s">
        <v>1179</v>
      </c>
      <c r="G294" s="364"/>
      <c r="H294" s="15" t="s">
        <v>56</v>
      </c>
      <c r="I294" s="15">
        <v>0.5</v>
      </c>
      <c r="J294" s="70">
        <v>68000</v>
      </c>
      <c r="K294" s="84">
        <f t="shared" si="17"/>
        <v>34000</v>
      </c>
      <c r="L294" s="361"/>
      <c r="M294" s="399"/>
      <c r="N294" s="370"/>
    </row>
    <row r="295" spans="2:14" ht="31.5" customHeight="1" x14ac:dyDescent="0.25">
      <c r="B295" s="361"/>
      <c r="C295" s="361"/>
      <c r="D295" s="353"/>
      <c r="E295" s="364"/>
      <c r="F295" s="207" t="s">
        <v>1181</v>
      </c>
      <c r="G295" s="364"/>
      <c r="H295" s="15" t="s">
        <v>56</v>
      </c>
      <c r="I295" s="15">
        <v>1.6</v>
      </c>
      <c r="J295" s="70">
        <v>68000</v>
      </c>
      <c r="K295" s="84">
        <f t="shared" si="17"/>
        <v>108800</v>
      </c>
      <c r="L295" s="360" t="s">
        <v>415</v>
      </c>
      <c r="M295" s="399"/>
      <c r="N295" s="122"/>
    </row>
    <row r="296" spans="2:14" ht="31.5" customHeight="1" x14ac:dyDescent="0.25">
      <c r="B296" s="361"/>
      <c r="C296" s="361"/>
      <c r="D296" s="353"/>
      <c r="E296" s="364"/>
      <c r="F296" s="207" t="s">
        <v>1180</v>
      </c>
      <c r="G296" s="364"/>
      <c r="H296" s="15" t="s">
        <v>56</v>
      </c>
      <c r="I296" s="15">
        <v>0.7</v>
      </c>
      <c r="J296" s="70">
        <v>55000</v>
      </c>
      <c r="K296" s="84">
        <f t="shared" si="17"/>
        <v>38500</v>
      </c>
      <c r="L296" s="361"/>
      <c r="M296" s="399"/>
      <c r="N296" s="122"/>
    </row>
    <row r="297" spans="2:14" ht="15.75" x14ac:dyDescent="0.25">
      <c r="B297" s="361"/>
      <c r="C297" s="361"/>
      <c r="D297" s="353"/>
      <c r="E297" s="364"/>
      <c r="F297" s="207" t="s">
        <v>1182</v>
      </c>
      <c r="G297" s="364"/>
      <c r="H297" s="15" t="s">
        <v>23</v>
      </c>
      <c r="I297" s="15">
        <v>50</v>
      </c>
      <c r="J297" s="70">
        <v>160</v>
      </c>
      <c r="K297" s="84">
        <f t="shared" si="17"/>
        <v>8000</v>
      </c>
      <c r="L297" s="361"/>
      <c r="M297" s="399"/>
      <c r="N297" s="8"/>
    </row>
    <row r="298" spans="2:14" ht="15.75" x14ac:dyDescent="0.25">
      <c r="B298" s="361"/>
      <c r="C298" s="361"/>
      <c r="D298" s="353"/>
      <c r="E298" s="364"/>
      <c r="F298" s="207" t="s">
        <v>1183</v>
      </c>
      <c r="G298" s="364"/>
      <c r="H298" s="15" t="s">
        <v>23</v>
      </c>
      <c r="I298" s="15">
        <v>12</v>
      </c>
      <c r="J298" s="70">
        <v>250</v>
      </c>
      <c r="K298" s="84">
        <f t="shared" si="17"/>
        <v>3000</v>
      </c>
      <c r="L298" s="361"/>
      <c r="M298" s="399"/>
      <c r="N298" s="8"/>
    </row>
    <row r="299" spans="2:14" ht="47.25" customHeight="1" x14ac:dyDescent="0.25">
      <c r="B299" s="361"/>
      <c r="C299" s="361"/>
      <c r="D299" s="353"/>
      <c r="E299" s="364"/>
      <c r="F299" s="207" t="s">
        <v>764</v>
      </c>
      <c r="G299" s="364"/>
      <c r="H299" s="15" t="s">
        <v>134</v>
      </c>
      <c r="I299" s="15">
        <v>230</v>
      </c>
      <c r="J299" s="70">
        <v>465</v>
      </c>
      <c r="K299" s="84">
        <f t="shared" si="17"/>
        <v>106950</v>
      </c>
      <c r="L299" s="361"/>
      <c r="M299" s="399"/>
      <c r="N299" s="8"/>
    </row>
    <row r="300" spans="2:14" ht="47.25" customHeight="1" x14ac:dyDescent="0.25">
      <c r="B300" s="361"/>
      <c r="C300" s="361"/>
      <c r="D300" s="353"/>
      <c r="E300" s="364"/>
      <c r="F300" s="207" t="s">
        <v>1184</v>
      </c>
      <c r="G300" s="364"/>
      <c r="H300" s="15" t="s">
        <v>134</v>
      </c>
      <c r="I300" s="15">
        <v>70</v>
      </c>
      <c r="J300" s="70">
        <v>564</v>
      </c>
      <c r="K300" s="84">
        <f t="shared" si="17"/>
        <v>39480</v>
      </c>
      <c r="L300" s="361"/>
      <c r="M300" s="399"/>
      <c r="N300" s="8"/>
    </row>
    <row r="301" spans="2:14" ht="53.25" customHeight="1" x14ac:dyDescent="0.25">
      <c r="B301" s="361"/>
      <c r="C301" s="361"/>
      <c r="D301" s="353"/>
      <c r="E301" s="364"/>
      <c r="F301" s="207" t="s">
        <v>1185</v>
      </c>
      <c r="G301" s="364"/>
      <c r="H301" s="15" t="s">
        <v>134</v>
      </c>
      <c r="I301" s="15">
        <v>190</v>
      </c>
      <c r="J301" s="70">
        <v>635</v>
      </c>
      <c r="K301" s="84">
        <f t="shared" si="17"/>
        <v>120650</v>
      </c>
      <c r="L301" s="361"/>
      <c r="M301" s="399"/>
      <c r="N301" s="8"/>
    </row>
    <row r="302" spans="2:14" ht="53.25" customHeight="1" x14ac:dyDescent="0.25">
      <c r="B302" s="362"/>
      <c r="C302" s="362"/>
      <c r="D302" s="354"/>
      <c r="E302" s="365"/>
      <c r="F302" s="207" t="s">
        <v>1262</v>
      </c>
      <c r="G302" s="365"/>
      <c r="H302" s="15" t="s">
        <v>68</v>
      </c>
      <c r="I302" s="15">
        <v>840</v>
      </c>
      <c r="J302" s="70">
        <v>82</v>
      </c>
      <c r="K302" s="84">
        <f t="shared" si="17"/>
        <v>68880</v>
      </c>
      <c r="L302" s="362"/>
      <c r="M302" s="400"/>
      <c r="N302" s="8"/>
    </row>
    <row r="303" spans="2:14" ht="31.5" x14ac:dyDescent="0.25">
      <c r="B303" s="360">
        <v>30</v>
      </c>
      <c r="C303" s="360" t="s">
        <v>38</v>
      </c>
      <c r="D303" s="355"/>
      <c r="E303" s="355" t="s">
        <v>744</v>
      </c>
      <c r="F303" s="23" t="s">
        <v>740</v>
      </c>
      <c r="G303" s="23" t="s">
        <v>741</v>
      </c>
      <c r="H303" s="15" t="s">
        <v>23</v>
      </c>
      <c r="I303" s="15">
        <v>60</v>
      </c>
      <c r="J303" s="70">
        <v>11226</v>
      </c>
      <c r="K303" s="84">
        <f>J303*I303</f>
        <v>673560</v>
      </c>
      <c r="L303" s="389" t="s">
        <v>415</v>
      </c>
      <c r="M303" s="421">
        <f>K303+K304</f>
        <v>971880</v>
      </c>
      <c r="N303" s="8"/>
    </row>
    <row r="304" spans="2:14" ht="31.5" x14ac:dyDescent="0.25">
      <c r="B304" s="362"/>
      <c r="C304" s="362"/>
      <c r="D304" s="365"/>
      <c r="E304" s="365"/>
      <c r="F304" s="23" t="s">
        <v>742</v>
      </c>
      <c r="G304" s="23" t="s">
        <v>743</v>
      </c>
      <c r="H304" s="15" t="s">
        <v>23</v>
      </c>
      <c r="I304" s="15">
        <v>20</v>
      </c>
      <c r="J304" s="70">
        <v>14916</v>
      </c>
      <c r="K304" s="84">
        <f>J304*I304</f>
        <v>298320</v>
      </c>
      <c r="L304" s="391"/>
      <c r="M304" s="427"/>
      <c r="N304" s="8"/>
    </row>
    <row r="305" spans="2:14" ht="44.25" customHeight="1" x14ac:dyDescent="0.25">
      <c r="B305" s="360">
        <v>31</v>
      </c>
      <c r="C305" s="360" t="s">
        <v>38</v>
      </c>
      <c r="D305" s="355"/>
      <c r="E305" s="352" t="s">
        <v>738</v>
      </c>
      <c r="F305" s="88" t="s">
        <v>1206</v>
      </c>
      <c r="G305" s="23" t="s">
        <v>1205</v>
      </c>
      <c r="H305" s="15" t="s">
        <v>23</v>
      </c>
      <c r="I305" s="15">
        <v>8</v>
      </c>
      <c r="J305" s="70">
        <v>8980</v>
      </c>
      <c r="K305" s="84">
        <f>J305*I305</f>
        <v>71840</v>
      </c>
      <c r="L305" s="360" t="s">
        <v>415</v>
      </c>
      <c r="M305" s="398">
        <f>SUM(K305:K320)</f>
        <v>948142</v>
      </c>
      <c r="N305" s="8"/>
    </row>
    <row r="306" spans="2:14" ht="44.25" customHeight="1" x14ac:dyDescent="0.25">
      <c r="B306" s="361"/>
      <c r="C306" s="361"/>
      <c r="D306" s="364"/>
      <c r="E306" s="353"/>
      <c r="F306" s="88" t="s">
        <v>376</v>
      </c>
      <c r="G306" s="23" t="s">
        <v>720</v>
      </c>
      <c r="H306" s="15" t="s">
        <v>23</v>
      </c>
      <c r="I306" s="15">
        <v>10</v>
      </c>
      <c r="J306" s="70">
        <f>3438</f>
        <v>3438</v>
      </c>
      <c r="K306" s="84">
        <f>J306*I306</f>
        <v>34380</v>
      </c>
      <c r="L306" s="361"/>
      <c r="M306" s="399"/>
      <c r="N306" s="8"/>
    </row>
    <row r="307" spans="2:14" ht="36.75" customHeight="1" x14ac:dyDescent="0.25">
      <c r="B307" s="361"/>
      <c r="C307" s="361"/>
      <c r="D307" s="364"/>
      <c r="E307" s="353"/>
      <c r="F307" s="88" t="s">
        <v>377</v>
      </c>
      <c r="G307" s="23" t="s">
        <v>721</v>
      </c>
      <c r="H307" s="15" t="s">
        <v>23</v>
      </c>
      <c r="I307" s="15">
        <v>60</v>
      </c>
      <c r="J307" s="71">
        <v>1420</v>
      </c>
      <c r="K307" s="84">
        <f t="shared" ref="K307:K320" si="18">I307*J307</f>
        <v>85200</v>
      </c>
      <c r="L307" s="361"/>
      <c r="M307" s="399"/>
      <c r="N307" s="8"/>
    </row>
    <row r="308" spans="2:14" ht="36.75" customHeight="1" x14ac:dyDescent="0.25">
      <c r="B308" s="361"/>
      <c r="C308" s="361"/>
      <c r="D308" s="364"/>
      <c r="E308" s="353"/>
      <c r="F308" s="88" t="s">
        <v>378</v>
      </c>
      <c r="G308" s="23" t="s">
        <v>722</v>
      </c>
      <c r="H308" s="15" t="s">
        <v>23</v>
      </c>
      <c r="I308" s="15">
        <v>12</v>
      </c>
      <c r="J308" s="71">
        <v>1070</v>
      </c>
      <c r="K308" s="84">
        <f t="shared" si="18"/>
        <v>12840</v>
      </c>
      <c r="L308" s="361"/>
      <c r="M308" s="399"/>
      <c r="N308" s="8"/>
    </row>
    <row r="309" spans="2:14" ht="36.75" customHeight="1" x14ac:dyDescent="0.25">
      <c r="B309" s="361"/>
      <c r="C309" s="361"/>
      <c r="D309" s="364"/>
      <c r="E309" s="353"/>
      <c r="F309" s="88" t="s">
        <v>378</v>
      </c>
      <c r="G309" s="23" t="s">
        <v>723</v>
      </c>
      <c r="H309" s="15" t="s">
        <v>23</v>
      </c>
      <c r="I309" s="15">
        <v>80</v>
      </c>
      <c r="J309" s="71">
        <v>1070</v>
      </c>
      <c r="K309" s="84">
        <f t="shared" si="18"/>
        <v>85600</v>
      </c>
      <c r="L309" s="361"/>
      <c r="M309" s="399"/>
      <c r="N309" s="8"/>
    </row>
    <row r="310" spans="2:14" ht="31.5" customHeight="1" x14ac:dyDescent="0.25">
      <c r="B310" s="361"/>
      <c r="C310" s="361"/>
      <c r="D310" s="364"/>
      <c r="E310" s="353"/>
      <c r="F310" s="88" t="s">
        <v>724</v>
      </c>
      <c r="G310" s="23" t="s">
        <v>725</v>
      </c>
      <c r="H310" s="15" t="s">
        <v>23</v>
      </c>
      <c r="I310" s="15">
        <v>40</v>
      </c>
      <c r="J310" s="71">
        <v>3438</v>
      </c>
      <c r="K310" s="84">
        <f t="shared" si="18"/>
        <v>137520</v>
      </c>
      <c r="L310" s="361"/>
      <c r="M310" s="399"/>
      <c r="N310" s="8"/>
    </row>
    <row r="311" spans="2:14" ht="15.75" x14ac:dyDescent="0.25">
      <c r="B311" s="361"/>
      <c r="C311" s="361"/>
      <c r="D311" s="364"/>
      <c r="E311" s="353"/>
      <c r="F311" s="88" t="s">
        <v>726</v>
      </c>
      <c r="G311" s="23" t="s">
        <v>727</v>
      </c>
      <c r="H311" s="15" t="s">
        <v>23</v>
      </c>
      <c r="I311" s="15">
        <v>10</v>
      </c>
      <c r="J311" s="71">
        <v>8252</v>
      </c>
      <c r="K311" s="84">
        <f t="shared" si="18"/>
        <v>82520</v>
      </c>
      <c r="L311" s="361"/>
      <c r="M311" s="399"/>
      <c r="N311" s="8"/>
    </row>
    <row r="312" spans="2:14" ht="15.75" x14ac:dyDescent="0.25">
      <c r="B312" s="361"/>
      <c r="C312" s="361"/>
      <c r="D312" s="364"/>
      <c r="E312" s="353"/>
      <c r="F312" s="88" t="s">
        <v>728</v>
      </c>
      <c r="G312" s="23" t="s">
        <v>729</v>
      </c>
      <c r="H312" s="15" t="s">
        <v>23</v>
      </c>
      <c r="I312" s="15">
        <v>42</v>
      </c>
      <c r="J312" s="71">
        <v>2042</v>
      </c>
      <c r="K312" s="84">
        <f t="shared" si="18"/>
        <v>85764</v>
      </c>
      <c r="L312" s="361"/>
      <c r="M312" s="399"/>
      <c r="N312" s="8"/>
    </row>
    <row r="313" spans="2:14" ht="15.75" x14ac:dyDescent="0.25">
      <c r="B313" s="361"/>
      <c r="C313" s="361"/>
      <c r="D313" s="364"/>
      <c r="E313" s="353"/>
      <c r="F313" s="88" t="s">
        <v>730</v>
      </c>
      <c r="G313" s="23" t="s">
        <v>729</v>
      </c>
      <c r="H313" s="15" t="s">
        <v>23</v>
      </c>
      <c r="I313" s="15">
        <v>40</v>
      </c>
      <c r="J313" s="71">
        <v>1753</v>
      </c>
      <c r="K313" s="84">
        <f t="shared" si="18"/>
        <v>70120</v>
      </c>
      <c r="L313" s="361"/>
      <c r="M313" s="399"/>
      <c r="N313" s="8"/>
    </row>
    <row r="314" spans="2:14" ht="15.75" x14ac:dyDescent="0.25">
      <c r="B314" s="361"/>
      <c r="C314" s="361"/>
      <c r="D314" s="364"/>
      <c r="E314" s="353"/>
      <c r="F314" s="88" t="s">
        <v>731</v>
      </c>
      <c r="G314" s="23" t="s">
        <v>729</v>
      </c>
      <c r="H314" s="15" t="s">
        <v>23</v>
      </c>
      <c r="I314" s="15">
        <v>20</v>
      </c>
      <c r="J314" s="71">
        <v>2922</v>
      </c>
      <c r="K314" s="84">
        <f t="shared" si="18"/>
        <v>58440</v>
      </c>
      <c r="L314" s="361"/>
      <c r="M314" s="399"/>
      <c r="N314" s="8"/>
    </row>
    <row r="315" spans="2:14" ht="15.75" x14ac:dyDescent="0.25">
      <c r="B315" s="361"/>
      <c r="C315" s="361"/>
      <c r="D315" s="364"/>
      <c r="E315" s="353"/>
      <c r="F315" s="88" t="s">
        <v>732</v>
      </c>
      <c r="G315" s="23" t="s">
        <v>729</v>
      </c>
      <c r="H315" s="15" t="s">
        <v>23</v>
      </c>
      <c r="I315" s="15">
        <v>42</v>
      </c>
      <c r="J315" s="71">
        <v>553</v>
      </c>
      <c r="K315" s="84">
        <f t="shared" si="18"/>
        <v>23226</v>
      </c>
      <c r="L315" s="361"/>
      <c r="M315" s="399"/>
      <c r="N315" s="8"/>
    </row>
    <row r="316" spans="2:14" ht="18" customHeight="1" x14ac:dyDescent="0.25">
      <c r="B316" s="361"/>
      <c r="C316" s="361"/>
      <c r="D316" s="364"/>
      <c r="E316" s="353"/>
      <c r="F316" s="88" t="s">
        <v>733</v>
      </c>
      <c r="G316" s="23" t="s">
        <v>729</v>
      </c>
      <c r="H316" s="15" t="s">
        <v>23</v>
      </c>
      <c r="I316" s="15">
        <v>80</v>
      </c>
      <c r="J316" s="71">
        <v>819</v>
      </c>
      <c r="K316" s="84">
        <f t="shared" si="18"/>
        <v>65520</v>
      </c>
      <c r="L316" s="361"/>
      <c r="M316" s="399"/>
      <c r="N316" s="8"/>
    </row>
    <row r="317" spans="2:14" ht="15.75" x14ac:dyDescent="0.25">
      <c r="B317" s="361"/>
      <c r="C317" s="361"/>
      <c r="D317" s="364"/>
      <c r="E317" s="353"/>
      <c r="F317" s="88" t="s">
        <v>734</v>
      </c>
      <c r="G317" s="23" t="s">
        <v>729</v>
      </c>
      <c r="H317" s="15" t="s">
        <v>23</v>
      </c>
      <c r="I317" s="15">
        <v>40</v>
      </c>
      <c r="J317" s="71">
        <v>838</v>
      </c>
      <c r="K317" s="84">
        <f t="shared" si="18"/>
        <v>33520</v>
      </c>
      <c r="L317" s="361"/>
      <c r="M317" s="399"/>
      <c r="N317" s="8"/>
    </row>
    <row r="318" spans="2:14" ht="15.75" x14ac:dyDescent="0.25">
      <c r="B318" s="361"/>
      <c r="C318" s="361"/>
      <c r="D318" s="364"/>
      <c r="E318" s="353"/>
      <c r="F318" s="88" t="s">
        <v>735</v>
      </c>
      <c r="G318" s="23" t="s">
        <v>729</v>
      </c>
      <c r="H318" s="15" t="s">
        <v>23</v>
      </c>
      <c r="I318" s="15">
        <v>84</v>
      </c>
      <c r="J318" s="71">
        <v>447</v>
      </c>
      <c r="K318" s="84">
        <f t="shared" si="18"/>
        <v>37548</v>
      </c>
      <c r="L318" s="361"/>
      <c r="M318" s="399"/>
      <c r="N318" s="8"/>
    </row>
    <row r="319" spans="2:14" ht="15.75" x14ac:dyDescent="0.25">
      <c r="B319" s="361"/>
      <c r="C319" s="361"/>
      <c r="D319" s="364"/>
      <c r="E319" s="353"/>
      <c r="F319" s="88" t="s">
        <v>736</v>
      </c>
      <c r="G319" s="23" t="s">
        <v>729</v>
      </c>
      <c r="H319" s="15" t="s">
        <v>23</v>
      </c>
      <c r="I319" s="15">
        <v>80</v>
      </c>
      <c r="J319" s="71">
        <v>417</v>
      </c>
      <c r="K319" s="84">
        <f t="shared" si="18"/>
        <v>33360</v>
      </c>
      <c r="L319" s="361"/>
      <c r="M319" s="399"/>
      <c r="N319" s="8"/>
    </row>
    <row r="320" spans="2:14" ht="15.75" x14ac:dyDescent="0.25">
      <c r="B320" s="362"/>
      <c r="C320" s="362"/>
      <c r="D320" s="365"/>
      <c r="E320" s="354"/>
      <c r="F320" s="205" t="s">
        <v>737</v>
      </c>
      <c r="G320" s="134" t="s">
        <v>729</v>
      </c>
      <c r="H320" s="31" t="s">
        <v>23</v>
      </c>
      <c r="I320" s="31">
        <v>84</v>
      </c>
      <c r="J320" s="69">
        <v>366</v>
      </c>
      <c r="K320" s="84">
        <f t="shared" si="18"/>
        <v>30744</v>
      </c>
      <c r="L320" s="362"/>
      <c r="M320" s="400"/>
      <c r="N320" s="8"/>
    </row>
    <row r="321" spans="2:14" ht="18.75" x14ac:dyDescent="0.3">
      <c r="B321" s="377" t="s">
        <v>17</v>
      </c>
      <c r="C321" s="378"/>
      <c r="D321" s="378"/>
      <c r="E321" s="378"/>
      <c r="F321" s="378"/>
      <c r="G321" s="379"/>
      <c r="H321" s="53"/>
      <c r="I321" s="53"/>
      <c r="J321" s="53"/>
      <c r="K321" s="55">
        <f>SUM(K281:K320)</f>
        <v>5545396</v>
      </c>
      <c r="L321" s="53"/>
      <c r="M321" s="55">
        <f>SUM(M280:M320)</f>
        <v>9548063</v>
      </c>
      <c r="N321" s="53"/>
    </row>
    <row r="322" spans="2:14" ht="15.75" x14ac:dyDescent="0.25">
      <c r="B322" s="392" t="s">
        <v>15</v>
      </c>
      <c r="C322" s="392"/>
      <c r="D322" s="392"/>
      <c r="E322" s="392"/>
      <c r="F322" s="392"/>
      <c r="G322" s="392"/>
      <c r="H322" s="392"/>
      <c r="I322" s="392"/>
      <c r="J322" s="392"/>
      <c r="K322" s="392"/>
      <c r="L322" s="392"/>
      <c r="M322" s="392"/>
      <c r="N322" s="392"/>
    </row>
    <row r="323" spans="2:14" ht="63" x14ac:dyDescent="0.25">
      <c r="B323" s="2">
        <v>32</v>
      </c>
      <c r="C323" s="352" t="s">
        <v>38</v>
      </c>
      <c r="D323" s="32" t="s">
        <v>303</v>
      </c>
      <c r="E323" s="32" t="s">
        <v>304</v>
      </c>
      <c r="F323" s="220" t="s">
        <v>305</v>
      </c>
      <c r="G323" s="32" t="s">
        <v>306</v>
      </c>
      <c r="H323" s="32" t="s">
        <v>23</v>
      </c>
      <c r="I323" s="32">
        <v>2</v>
      </c>
      <c r="J323" s="2">
        <v>185442</v>
      </c>
      <c r="K323" s="2">
        <f>J323*I323</f>
        <v>370884</v>
      </c>
      <c r="L323" s="2" t="s">
        <v>184</v>
      </c>
      <c r="M323" s="2">
        <f>K323</f>
        <v>370884</v>
      </c>
      <c r="N323" s="2"/>
    </row>
    <row r="324" spans="2:14" ht="47.25" x14ac:dyDescent="0.25">
      <c r="B324" s="2">
        <v>33</v>
      </c>
      <c r="C324" s="353"/>
      <c r="D324" s="32" t="s">
        <v>307</v>
      </c>
      <c r="E324" s="32" t="s">
        <v>308</v>
      </c>
      <c r="F324" s="185" t="s">
        <v>309</v>
      </c>
      <c r="G324" s="32" t="s">
        <v>310</v>
      </c>
      <c r="H324" s="32" t="s">
        <v>23</v>
      </c>
      <c r="I324" s="32">
        <v>2</v>
      </c>
      <c r="J324" s="32">
        <v>451743</v>
      </c>
      <c r="K324" s="32">
        <f>I324*J324</f>
        <v>903486</v>
      </c>
      <c r="L324" s="32" t="s">
        <v>184</v>
      </c>
      <c r="M324" s="32">
        <f>K324</f>
        <v>903486</v>
      </c>
      <c r="N324" s="2"/>
    </row>
    <row r="325" spans="2:14" ht="47.25" x14ac:dyDescent="0.25">
      <c r="B325" s="2">
        <v>34</v>
      </c>
      <c r="C325" s="353"/>
      <c r="D325" s="32" t="s">
        <v>311</v>
      </c>
      <c r="E325" s="32" t="s">
        <v>308</v>
      </c>
      <c r="F325" s="185" t="s">
        <v>312</v>
      </c>
      <c r="G325" s="32" t="s">
        <v>310</v>
      </c>
      <c r="H325" s="32" t="s">
        <v>23</v>
      </c>
      <c r="I325" s="32">
        <v>1</v>
      </c>
      <c r="J325" s="32">
        <v>205725</v>
      </c>
      <c r="K325" s="32">
        <f t="shared" ref="K325:K332" si="19">I325*J325</f>
        <v>205725</v>
      </c>
      <c r="L325" s="32" t="s">
        <v>184</v>
      </c>
      <c r="M325" s="32">
        <f t="shared" ref="M325:M332" si="20">K325</f>
        <v>205725</v>
      </c>
      <c r="N325" s="2"/>
    </row>
    <row r="326" spans="2:14" ht="47.25" x14ac:dyDescent="0.25">
      <c r="B326" s="2">
        <v>35</v>
      </c>
      <c r="C326" s="353"/>
      <c r="D326" s="32" t="s">
        <v>277</v>
      </c>
      <c r="E326" s="32" t="s">
        <v>308</v>
      </c>
      <c r="F326" s="185" t="s">
        <v>313</v>
      </c>
      <c r="G326" s="32" t="s">
        <v>310</v>
      </c>
      <c r="H326" s="32" t="s">
        <v>23</v>
      </c>
      <c r="I326" s="32">
        <v>1</v>
      </c>
      <c r="J326" s="32">
        <v>56810</v>
      </c>
      <c r="K326" s="32">
        <f t="shared" si="19"/>
        <v>56810</v>
      </c>
      <c r="L326" s="32" t="s">
        <v>184</v>
      </c>
      <c r="M326" s="32">
        <f t="shared" si="20"/>
        <v>56810</v>
      </c>
      <c r="N326" s="2" t="s">
        <v>408</v>
      </c>
    </row>
    <row r="327" spans="2:14" ht="47.25" x14ac:dyDescent="0.25">
      <c r="B327" s="2">
        <v>36</v>
      </c>
      <c r="C327" s="353"/>
      <c r="D327" s="32" t="s">
        <v>314</v>
      </c>
      <c r="E327" s="32" t="s">
        <v>308</v>
      </c>
      <c r="F327" s="185" t="s">
        <v>315</v>
      </c>
      <c r="G327" s="32" t="s">
        <v>310</v>
      </c>
      <c r="H327" s="32" t="s">
        <v>23</v>
      </c>
      <c r="I327" s="32">
        <v>1</v>
      </c>
      <c r="J327" s="32">
        <v>230776</v>
      </c>
      <c r="K327" s="32">
        <f t="shared" si="19"/>
        <v>230776</v>
      </c>
      <c r="L327" s="32" t="s">
        <v>184</v>
      </c>
      <c r="M327" s="32">
        <f t="shared" si="20"/>
        <v>230776</v>
      </c>
      <c r="N327" s="2"/>
    </row>
    <row r="328" spans="2:14" ht="47.25" x14ac:dyDescent="0.25">
      <c r="B328" s="2">
        <v>37</v>
      </c>
      <c r="C328" s="353"/>
      <c r="D328" s="32" t="s">
        <v>316</v>
      </c>
      <c r="E328" s="32" t="s">
        <v>308</v>
      </c>
      <c r="F328" s="185" t="s">
        <v>317</v>
      </c>
      <c r="G328" s="32" t="s">
        <v>310</v>
      </c>
      <c r="H328" s="32" t="s">
        <v>23</v>
      </c>
      <c r="I328" s="32">
        <v>1</v>
      </c>
      <c r="J328" s="32">
        <v>50700</v>
      </c>
      <c r="K328" s="32">
        <f t="shared" si="19"/>
        <v>50700</v>
      </c>
      <c r="L328" s="32" t="s">
        <v>184</v>
      </c>
      <c r="M328" s="32">
        <f t="shared" si="20"/>
        <v>50700</v>
      </c>
      <c r="N328" s="2"/>
    </row>
    <row r="329" spans="2:14" ht="47.25" x14ac:dyDescent="0.25">
      <c r="B329" s="2">
        <v>38</v>
      </c>
      <c r="C329" s="353"/>
      <c r="D329" s="32" t="s">
        <v>318</v>
      </c>
      <c r="E329" s="32" t="s">
        <v>308</v>
      </c>
      <c r="F329" s="185" t="s">
        <v>319</v>
      </c>
      <c r="G329" s="32" t="s">
        <v>310</v>
      </c>
      <c r="H329" s="32" t="s">
        <v>23</v>
      </c>
      <c r="I329" s="32">
        <v>1</v>
      </c>
      <c r="J329" s="32">
        <v>23153</v>
      </c>
      <c r="K329" s="32">
        <f t="shared" si="19"/>
        <v>23153</v>
      </c>
      <c r="L329" s="32" t="s">
        <v>184</v>
      </c>
      <c r="M329" s="32">
        <f t="shared" si="20"/>
        <v>23153</v>
      </c>
      <c r="N329" s="2"/>
    </row>
    <row r="330" spans="2:14" ht="47.25" x14ac:dyDescent="0.25">
      <c r="B330" s="2">
        <v>39</v>
      </c>
      <c r="C330" s="353"/>
      <c r="D330" s="32" t="s">
        <v>320</v>
      </c>
      <c r="E330" s="32" t="s">
        <v>308</v>
      </c>
      <c r="F330" s="185" t="s">
        <v>321</v>
      </c>
      <c r="G330" s="32" t="s">
        <v>310</v>
      </c>
      <c r="H330" s="32" t="s">
        <v>23</v>
      </c>
      <c r="I330" s="32">
        <v>2</v>
      </c>
      <c r="J330" s="32">
        <v>13500</v>
      </c>
      <c r="K330" s="32">
        <f t="shared" si="19"/>
        <v>27000</v>
      </c>
      <c r="L330" s="32" t="s">
        <v>184</v>
      </c>
      <c r="M330" s="32">
        <f t="shared" si="20"/>
        <v>27000</v>
      </c>
      <c r="N330" s="2"/>
    </row>
    <row r="331" spans="2:14" ht="63" x14ac:dyDescent="0.25">
      <c r="B331" s="2">
        <v>40</v>
      </c>
      <c r="C331" s="353"/>
      <c r="D331" s="32" t="s">
        <v>323</v>
      </c>
      <c r="E331" s="32" t="s">
        <v>324</v>
      </c>
      <c r="F331" s="214" t="s">
        <v>325</v>
      </c>
      <c r="G331" s="32" t="s">
        <v>326</v>
      </c>
      <c r="H331" s="32" t="s">
        <v>134</v>
      </c>
      <c r="I331" s="32">
        <v>650</v>
      </c>
      <c r="J331" s="32">
        <v>30</v>
      </c>
      <c r="K331" s="32">
        <f t="shared" si="19"/>
        <v>19500</v>
      </c>
      <c r="L331" s="32" t="s">
        <v>184</v>
      </c>
      <c r="M331" s="32">
        <f t="shared" si="20"/>
        <v>19500</v>
      </c>
      <c r="N331" s="2" t="s">
        <v>408</v>
      </c>
    </row>
    <row r="332" spans="2:14" ht="47.25" x14ac:dyDescent="0.25">
      <c r="B332" s="2">
        <v>41</v>
      </c>
      <c r="C332" s="354"/>
      <c r="D332" s="32" t="s">
        <v>327</v>
      </c>
      <c r="E332" s="32" t="s">
        <v>328</v>
      </c>
      <c r="F332" s="214" t="s">
        <v>329</v>
      </c>
      <c r="G332" s="32" t="s">
        <v>330</v>
      </c>
      <c r="H332" s="32" t="s">
        <v>23</v>
      </c>
      <c r="I332" s="32">
        <v>1</v>
      </c>
      <c r="J332" s="32">
        <v>37537</v>
      </c>
      <c r="K332" s="32">
        <f t="shared" si="19"/>
        <v>37537</v>
      </c>
      <c r="L332" s="32" t="s">
        <v>184</v>
      </c>
      <c r="M332" s="32">
        <f t="shared" si="20"/>
        <v>37537</v>
      </c>
      <c r="N332" s="2" t="s">
        <v>408</v>
      </c>
    </row>
    <row r="333" spans="2:14" ht="18.75" x14ac:dyDescent="0.3">
      <c r="B333" s="377" t="s">
        <v>17</v>
      </c>
      <c r="C333" s="378"/>
      <c r="D333" s="378"/>
      <c r="E333" s="378"/>
      <c r="F333" s="378"/>
      <c r="G333" s="379"/>
      <c r="H333" s="53"/>
      <c r="I333" s="53"/>
      <c r="J333" s="53"/>
      <c r="K333" s="56">
        <f>SUM(K323:K332)</f>
        <v>1925571</v>
      </c>
      <c r="L333" s="53"/>
      <c r="M333" s="55">
        <f>SUM(M323:M332)</f>
        <v>1925571</v>
      </c>
      <c r="N333" s="53"/>
    </row>
    <row r="334" spans="2:14" ht="15.75" x14ac:dyDescent="0.25">
      <c r="B334" s="392" t="s">
        <v>20</v>
      </c>
      <c r="C334" s="392"/>
      <c r="D334" s="392"/>
      <c r="E334" s="392"/>
      <c r="F334" s="392"/>
      <c r="G334" s="392"/>
      <c r="H334" s="392"/>
      <c r="I334" s="392"/>
      <c r="J334" s="392"/>
      <c r="K334" s="392"/>
      <c r="L334" s="392"/>
      <c r="M334" s="392"/>
      <c r="N334" s="392"/>
    </row>
    <row r="335" spans="2:14" ht="31.5" customHeight="1" x14ac:dyDescent="0.25">
      <c r="B335" s="360">
        <v>42</v>
      </c>
      <c r="C335" s="360" t="s">
        <v>38</v>
      </c>
      <c r="D335" s="355" t="s">
        <v>766</v>
      </c>
      <c r="E335" s="3"/>
      <c r="F335" s="24" t="s">
        <v>767</v>
      </c>
      <c r="G335" s="3"/>
      <c r="H335" s="3"/>
      <c r="I335" s="3">
        <v>1</v>
      </c>
      <c r="J335" s="81"/>
      <c r="K335" s="81"/>
      <c r="L335" s="81"/>
      <c r="M335" s="81"/>
      <c r="N335" s="81"/>
    </row>
    <row r="336" spans="2:14" ht="15.75" x14ac:dyDescent="0.25">
      <c r="B336" s="361"/>
      <c r="C336" s="361"/>
      <c r="D336" s="364"/>
      <c r="E336" s="3"/>
      <c r="F336" s="24" t="s">
        <v>768</v>
      </c>
      <c r="G336" s="3"/>
      <c r="H336" s="3"/>
      <c r="I336" s="3">
        <v>1</v>
      </c>
      <c r="J336" s="81"/>
      <c r="K336" s="81"/>
      <c r="L336" s="81"/>
      <c r="M336" s="81"/>
      <c r="N336" s="81"/>
    </row>
    <row r="337" spans="2:14" ht="15.75" x14ac:dyDescent="0.25">
      <c r="B337" s="361"/>
      <c r="C337" s="361"/>
      <c r="D337" s="364"/>
      <c r="E337" s="3"/>
      <c r="F337" s="24" t="s">
        <v>769</v>
      </c>
      <c r="G337" s="3"/>
      <c r="H337" s="3"/>
      <c r="I337" s="3">
        <v>1</v>
      </c>
      <c r="J337" s="81"/>
      <c r="K337" s="81"/>
      <c r="L337" s="81"/>
      <c r="M337" s="81"/>
      <c r="N337" s="81"/>
    </row>
    <row r="338" spans="2:14" ht="15.75" x14ac:dyDescent="0.25">
      <c r="B338" s="361"/>
      <c r="C338" s="361"/>
      <c r="D338" s="364"/>
      <c r="E338" s="3"/>
      <c r="F338" s="24" t="s">
        <v>770</v>
      </c>
      <c r="G338" s="3"/>
      <c r="H338" s="3"/>
      <c r="I338" s="3">
        <v>1</v>
      </c>
      <c r="J338" s="81"/>
      <c r="K338" s="81"/>
      <c r="L338" s="81"/>
      <c r="M338" s="81"/>
      <c r="N338" s="81"/>
    </row>
    <row r="339" spans="2:14" ht="15.75" x14ac:dyDescent="0.25">
      <c r="B339" s="362"/>
      <c r="C339" s="362"/>
      <c r="D339" s="365"/>
      <c r="E339" s="3"/>
      <c r="F339" s="24" t="s">
        <v>771</v>
      </c>
      <c r="G339" s="3"/>
      <c r="H339" s="3"/>
      <c r="I339" s="3">
        <v>2</v>
      </c>
      <c r="J339" s="81"/>
      <c r="K339" s="81"/>
      <c r="L339" s="81"/>
      <c r="M339" s="81"/>
      <c r="N339" s="81"/>
    </row>
    <row r="340" spans="2:14" ht="15.75" x14ac:dyDescent="0.25">
      <c r="B340" s="360">
        <v>43</v>
      </c>
      <c r="C340" s="360" t="s">
        <v>38</v>
      </c>
      <c r="D340" s="389" t="s">
        <v>772</v>
      </c>
      <c r="E340" s="3"/>
      <c r="F340" s="24" t="s">
        <v>773</v>
      </c>
      <c r="G340" s="3"/>
      <c r="H340" s="3" t="s">
        <v>23</v>
      </c>
      <c r="I340" s="3">
        <v>4</v>
      </c>
      <c r="J340" s="81"/>
      <c r="K340" s="81"/>
      <c r="L340" s="81"/>
      <c r="M340" s="81"/>
      <c r="N340" s="81"/>
    </row>
    <row r="341" spans="2:14" ht="15.75" x14ac:dyDescent="0.25">
      <c r="B341" s="361"/>
      <c r="C341" s="361"/>
      <c r="D341" s="390"/>
      <c r="E341" s="3"/>
      <c r="F341" s="24" t="s">
        <v>774</v>
      </c>
      <c r="G341" s="3"/>
      <c r="H341" s="3"/>
      <c r="I341" s="3">
        <v>1</v>
      </c>
      <c r="J341" s="81"/>
      <c r="K341" s="81"/>
      <c r="L341" s="81"/>
      <c r="M341" s="81"/>
      <c r="N341" s="81"/>
    </row>
    <row r="342" spans="2:14" ht="15.75" x14ac:dyDescent="0.25">
      <c r="B342" s="361"/>
      <c r="C342" s="361"/>
      <c r="D342" s="390"/>
      <c r="E342" s="3"/>
      <c r="F342" s="24" t="s">
        <v>775</v>
      </c>
      <c r="G342" s="3"/>
      <c r="H342" s="3"/>
      <c r="I342" s="3">
        <v>1</v>
      </c>
      <c r="J342" s="81"/>
      <c r="K342" s="81"/>
      <c r="L342" s="81"/>
      <c r="M342" s="81"/>
      <c r="N342" s="81"/>
    </row>
    <row r="343" spans="2:14" ht="15.75" x14ac:dyDescent="0.25">
      <c r="B343" s="361"/>
      <c r="C343" s="361"/>
      <c r="D343" s="390"/>
      <c r="E343" s="3"/>
      <c r="F343" s="24" t="s">
        <v>776</v>
      </c>
      <c r="G343" s="3"/>
      <c r="H343" s="3"/>
      <c r="I343" s="3">
        <v>2</v>
      </c>
      <c r="J343" s="81"/>
      <c r="K343" s="81"/>
      <c r="L343" s="81"/>
      <c r="M343" s="81"/>
      <c r="N343" s="81"/>
    </row>
    <row r="344" spans="2:14" ht="15.75" x14ac:dyDescent="0.25">
      <c r="B344" s="361"/>
      <c r="C344" s="361"/>
      <c r="D344" s="390"/>
      <c r="E344" s="3"/>
      <c r="F344" s="24" t="s">
        <v>777</v>
      </c>
      <c r="G344" s="3"/>
      <c r="H344" s="3"/>
      <c r="I344" s="3">
        <v>1</v>
      </c>
      <c r="J344" s="81"/>
      <c r="K344" s="81"/>
      <c r="L344" s="81"/>
      <c r="M344" s="81"/>
      <c r="N344" s="81"/>
    </row>
    <row r="345" spans="2:14" ht="15.75" x14ac:dyDescent="0.25">
      <c r="B345" s="361"/>
      <c r="C345" s="361"/>
      <c r="D345" s="390"/>
      <c r="E345" s="3"/>
      <c r="F345" s="24" t="s">
        <v>778</v>
      </c>
      <c r="G345" s="3"/>
      <c r="H345" s="3"/>
      <c r="I345" s="3">
        <v>1</v>
      </c>
      <c r="J345" s="81"/>
      <c r="K345" s="81"/>
      <c r="L345" s="81"/>
      <c r="M345" s="81"/>
      <c r="N345" s="81"/>
    </row>
    <row r="346" spans="2:14" ht="15.75" x14ac:dyDescent="0.25">
      <c r="B346" s="361"/>
      <c r="C346" s="361"/>
      <c r="D346" s="390"/>
      <c r="E346" s="3"/>
      <c r="F346" s="24" t="s">
        <v>779</v>
      </c>
      <c r="G346" s="3"/>
      <c r="H346" s="3"/>
      <c r="I346" s="3">
        <v>4</v>
      </c>
      <c r="J346" s="81"/>
      <c r="K346" s="81"/>
      <c r="L346" s="81"/>
      <c r="M346" s="81"/>
      <c r="N346" s="81"/>
    </row>
    <row r="347" spans="2:14" ht="15.75" x14ac:dyDescent="0.25">
      <c r="B347" s="361"/>
      <c r="C347" s="361"/>
      <c r="D347" s="390"/>
      <c r="E347" s="3"/>
      <c r="F347" s="24" t="s">
        <v>780</v>
      </c>
      <c r="G347" s="3" t="s">
        <v>781</v>
      </c>
      <c r="H347" s="3"/>
      <c r="I347" s="3">
        <v>2</v>
      </c>
      <c r="J347" s="81"/>
      <c r="K347" s="81"/>
      <c r="L347" s="81"/>
      <c r="M347" s="81"/>
      <c r="N347" s="81"/>
    </row>
    <row r="348" spans="2:14" ht="15.75" x14ac:dyDescent="0.25">
      <c r="B348" s="361"/>
      <c r="C348" s="361"/>
      <c r="D348" s="390"/>
      <c r="E348" s="3"/>
      <c r="F348" s="24" t="s">
        <v>782</v>
      </c>
      <c r="G348" s="3"/>
      <c r="H348" s="3"/>
      <c r="I348" s="3">
        <v>2</v>
      </c>
      <c r="J348" s="81"/>
      <c r="K348" s="81"/>
      <c r="L348" s="81"/>
      <c r="M348" s="81"/>
      <c r="N348" s="81"/>
    </row>
    <row r="349" spans="2:14" ht="31.5" x14ac:dyDescent="0.25">
      <c r="B349" s="362"/>
      <c r="C349" s="362"/>
      <c r="D349" s="391"/>
      <c r="E349" s="3"/>
      <c r="F349" s="23" t="s">
        <v>783</v>
      </c>
      <c r="G349" s="3"/>
      <c r="H349" s="3"/>
      <c r="I349" s="3">
        <v>4</v>
      </c>
      <c r="J349" s="81"/>
      <c r="K349" s="81"/>
      <c r="L349" s="81"/>
      <c r="M349" s="81"/>
      <c r="N349" s="81"/>
    </row>
    <row r="350" spans="2:14" ht="15.75" x14ac:dyDescent="0.25">
      <c r="B350" s="360">
        <v>44</v>
      </c>
      <c r="C350" s="360" t="s">
        <v>38</v>
      </c>
      <c r="D350" s="389" t="s">
        <v>833</v>
      </c>
      <c r="E350" s="3"/>
      <c r="F350" s="23" t="s">
        <v>784</v>
      </c>
      <c r="G350" s="3"/>
      <c r="H350" s="3"/>
      <c r="I350" s="3">
        <v>4</v>
      </c>
      <c r="J350" s="81"/>
      <c r="K350" s="81"/>
      <c r="L350" s="81"/>
      <c r="M350" s="81"/>
      <c r="N350" s="81"/>
    </row>
    <row r="351" spans="2:14" ht="15.75" x14ac:dyDescent="0.25">
      <c r="B351" s="361"/>
      <c r="C351" s="361"/>
      <c r="D351" s="390"/>
      <c r="E351" s="3"/>
      <c r="F351" s="23" t="s">
        <v>785</v>
      </c>
      <c r="G351" s="3"/>
      <c r="H351" s="3"/>
      <c r="I351" s="3">
        <v>4</v>
      </c>
      <c r="J351" s="81"/>
      <c r="K351" s="81"/>
      <c r="L351" s="81"/>
      <c r="M351" s="81"/>
      <c r="N351" s="81"/>
    </row>
    <row r="352" spans="2:14" ht="15.75" x14ac:dyDescent="0.25">
      <c r="B352" s="361"/>
      <c r="C352" s="361"/>
      <c r="D352" s="390"/>
      <c r="E352" s="3"/>
      <c r="F352" s="23" t="s">
        <v>786</v>
      </c>
      <c r="G352" s="3"/>
      <c r="H352" s="3"/>
      <c r="I352" s="3">
        <v>4</v>
      </c>
      <c r="J352" s="81"/>
      <c r="K352" s="81"/>
      <c r="L352" s="81"/>
      <c r="M352" s="81"/>
      <c r="N352" s="81"/>
    </row>
    <row r="353" spans="2:14" ht="15.75" x14ac:dyDescent="0.25">
      <c r="B353" s="361"/>
      <c r="C353" s="362"/>
      <c r="D353" s="391"/>
      <c r="E353" s="3"/>
      <c r="F353" s="24" t="s">
        <v>787</v>
      </c>
      <c r="G353" s="3"/>
      <c r="H353" s="3"/>
      <c r="I353" s="3">
        <v>4</v>
      </c>
      <c r="J353" s="81"/>
      <c r="K353" s="81"/>
      <c r="L353" s="81"/>
      <c r="M353" s="81"/>
      <c r="N353" s="81"/>
    </row>
    <row r="354" spans="2:14" ht="15.75" x14ac:dyDescent="0.25">
      <c r="B354" s="361"/>
      <c r="C354" s="360" t="s">
        <v>38</v>
      </c>
      <c r="D354" s="355" t="s">
        <v>834</v>
      </c>
      <c r="E354" s="3"/>
      <c r="F354" s="24" t="s">
        <v>788</v>
      </c>
      <c r="G354" s="3"/>
      <c r="H354" s="3"/>
      <c r="I354" s="3"/>
      <c r="J354" s="81"/>
      <c r="K354" s="81"/>
      <c r="L354" s="81"/>
      <c r="M354" s="81"/>
      <c r="N354" s="81"/>
    </row>
    <row r="355" spans="2:14" ht="15.75" x14ac:dyDescent="0.25">
      <c r="B355" s="361"/>
      <c r="C355" s="361"/>
      <c r="D355" s="364"/>
      <c r="E355" s="3"/>
      <c r="F355" s="24" t="s">
        <v>789</v>
      </c>
      <c r="G355" s="3"/>
      <c r="H355" s="3"/>
      <c r="I355" s="3"/>
      <c r="J355" s="81"/>
      <c r="K355" s="81"/>
      <c r="L355" s="81"/>
      <c r="M355" s="81"/>
      <c r="N355" s="81"/>
    </row>
    <row r="356" spans="2:14" ht="15.75" x14ac:dyDescent="0.25">
      <c r="B356" s="361"/>
      <c r="C356" s="361"/>
      <c r="D356" s="364"/>
      <c r="E356" s="3"/>
      <c r="F356" s="24" t="s">
        <v>784</v>
      </c>
      <c r="G356" s="3"/>
      <c r="H356" s="3"/>
      <c r="I356" s="3">
        <v>4</v>
      </c>
      <c r="J356" s="81"/>
      <c r="K356" s="81"/>
      <c r="L356" s="81"/>
      <c r="M356" s="81"/>
      <c r="N356" s="81"/>
    </row>
    <row r="357" spans="2:14" ht="15.75" x14ac:dyDescent="0.25">
      <c r="B357" s="361"/>
      <c r="C357" s="361"/>
      <c r="D357" s="364"/>
      <c r="E357" s="3"/>
      <c r="F357" s="24" t="s">
        <v>785</v>
      </c>
      <c r="G357" s="3"/>
      <c r="H357" s="3"/>
      <c r="I357" s="3">
        <v>4</v>
      </c>
      <c r="J357" s="81"/>
      <c r="K357" s="81"/>
      <c r="L357" s="81"/>
      <c r="M357" s="81"/>
      <c r="N357" s="81"/>
    </row>
    <row r="358" spans="2:14" ht="15.75" x14ac:dyDescent="0.25">
      <c r="B358" s="362"/>
      <c r="C358" s="362"/>
      <c r="D358" s="365"/>
      <c r="E358" s="3"/>
      <c r="F358" s="24" t="s">
        <v>787</v>
      </c>
      <c r="G358" s="3"/>
      <c r="H358" s="3"/>
      <c r="I358" s="3">
        <v>4</v>
      </c>
      <c r="J358" s="81"/>
      <c r="K358" s="81"/>
      <c r="L358" s="81"/>
      <c r="M358" s="81"/>
      <c r="N358" s="81"/>
    </row>
    <row r="359" spans="2:14" ht="31.5" customHeight="1" x14ac:dyDescent="0.25">
      <c r="B359" s="360">
        <v>45</v>
      </c>
      <c r="C359" s="360" t="s">
        <v>38</v>
      </c>
      <c r="D359" s="355" t="s">
        <v>790</v>
      </c>
      <c r="E359" s="3"/>
      <c r="F359" s="24" t="s">
        <v>791</v>
      </c>
      <c r="G359" s="3"/>
      <c r="H359" s="3"/>
      <c r="I359" s="3">
        <v>2</v>
      </c>
      <c r="J359" s="81"/>
      <c r="K359" s="81"/>
      <c r="L359" s="81"/>
      <c r="M359" s="81"/>
      <c r="N359" s="81"/>
    </row>
    <row r="360" spans="2:14" ht="31.5" x14ac:dyDescent="0.25">
      <c r="B360" s="362"/>
      <c r="C360" s="362"/>
      <c r="D360" s="365"/>
      <c r="E360" s="3"/>
      <c r="F360" s="23" t="s">
        <v>792</v>
      </c>
      <c r="G360" s="3"/>
      <c r="H360" s="3"/>
      <c r="I360" s="3">
        <v>1</v>
      </c>
      <c r="J360" s="81"/>
      <c r="K360" s="81"/>
      <c r="L360" s="81"/>
      <c r="M360" s="81"/>
      <c r="N360" s="81"/>
    </row>
    <row r="361" spans="2:14" ht="63" customHeight="1" x14ac:dyDescent="0.25">
      <c r="B361" s="360">
        <v>46</v>
      </c>
      <c r="C361" s="360" t="s">
        <v>38</v>
      </c>
      <c r="D361" s="355" t="s">
        <v>793</v>
      </c>
      <c r="E361" s="3"/>
      <c r="F361" s="24" t="s">
        <v>794</v>
      </c>
      <c r="G361" s="3"/>
      <c r="H361" s="3"/>
      <c r="I361" s="3">
        <v>1</v>
      </c>
      <c r="J361" s="81"/>
      <c r="K361" s="81"/>
      <c r="L361" s="81"/>
      <c r="M361" s="81"/>
      <c r="N361" s="81"/>
    </row>
    <row r="362" spans="2:14" ht="15.75" x14ac:dyDescent="0.25">
      <c r="B362" s="361"/>
      <c r="C362" s="361"/>
      <c r="D362" s="364"/>
      <c r="E362" s="3"/>
      <c r="F362" s="24" t="s">
        <v>795</v>
      </c>
      <c r="G362" s="3"/>
      <c r="H362" s="3"/>
      <c r="I362" s="3">
        <v>1</v>
      </c>
      <c r="J362" s="81"/>
      <c r="K362" s="81"/>
      <c r="L362" s="81"/>
      <c r="M362" s="81"/>
      <c r="N362" s="81"/>
    </row>
    <row r="363" spans="2:14" ht="15.75" x14ac:dyDescent="0.25">
      <c r="B363" s="361"/>
      <c r="C363" s="361"/>
      <c r="D363" s="364"/>
      <c r="E363" s="3"/>
      <c r="F363" s="24" t="s">
        <v>796</v>
      </c>
      <c r="G363" s="3"/>
      <c r="H363" s="3"/>
      <c r="I363" s="3">
        <v>1</v>
      </c>
      <c r="J363" s="81"/>
      <c r="K363" s="81"/>
      <c r="L363" s="81"/>
      <c r="M363" s="81"/>
      <c r="N363" s="81"/>
    </row>
    <row r="364" spans="2:14" ht="15.75" x14ac:dyDescent="0.25">
      <c r="B364" s="361"/>
      <c r="C364" s="361"/>
      <c r="D364" s="364"/>
      <c r="E364" s="3"/>
      <c r="F364" s="24" t="s">
        <v>797</v>
      </c>
      <c r="G364" s="3"/>
      <c r="H364" s="3"/>
      <c r="I364" s="3">
        <v>4</v>
      </c>
      <c r="J364" s="81"/>
      <c r="K364" s="81"/>
      <c r="L364" s="81"/>
      <c r="M364" s="81"/>
      <c r="N364" s="81"/>
    </row>
    <row r="365" spans="2:14" ht="15.75" x14ac:dyDescent="0.25">
      <c r="B365" s="362"/>
      <c r="C365" s="362"/>
      <c r="D365" s="365"/>
      <c r="E365" s="3"/>
      <c r="F365" s="24" t="s">
        <v>798</v>
      </c>
      <c r="G365" s="3"/>
      <c r="H365" s="3"/>
      <c r="I365" s="3">
        <v>1</v>
      </c>
      <c r="J365" s="81"/>
      <c r="K365" s="81"/>
      <c r="L365" s="81"/>
      <c r="M365" s="81"/>
      <c r="N365" s="81"/>
    </row>
    <row r="366" spans="2:14" ht="31.5" customHeight="1" x14ac:dyDescent="0.25">
      <c r="B366" s="360">
        <v>47</v>
      </c>
      <c r="C366" s="360" t="s">
        <v>886</v>
      </c>
      <c r="D366" s="355" t="s">
        <v>799</v>
      </c>
      <c r="E366" s="3"/>
      <c r="F366" s="24" t="s">
        <v>800</v>
      </c>
      <c r="G366" s="3"/>
      <c r="H366" s="3"/>
      <c r="I366" s="3">
        <v>2</v>
      </c>
      <c r="J366" s="81"/>
      <c r="K366" s="81"/>
      <c r="L366" s="81"/>
      <c r="M366" s="81"/>
      <c r="N366" s="81"/>
    </row>
    <row r="367" spans="2:14" ht="15.75" x14ac:dyDescent="0.25">
      <c r="B367" s="361"/>
      <c r="C367" s="361"/>
      <c r="D367" s="364"/>
      <c r="E367" s="3"/>
      <c r="F367" s="24" t="s">
        <v>801</v>
      </c>
      <c r="G367" s="3"/>
      <c r="H367" s="3"/>
      <c r="I367" s="3">
        <v>6</v>
      </c>
      <c r="J367" s="81"/>
      <c r="K367" s="81"/>
      <c r="L367" s="81"/>
      <c r="M367" s="81"/>
      <c r="N367" s="81"/>
    </row>
    <row r="368" spans="2:14" ht="15.75" x14ac:dyDescent="0.25">
      <c r="B368" s="361"/>
      <c r="C368" s="361"/>
      <c r="D368" s="364"/>
      <c r="E368" s="3"/>
      <c r="F368" s="24" t="s">
        <v>796</v>
      </c>
      <c r="G368" s="3"/>
      <c r="H368" s="3"/>
      <c r="I368" s="3">
        <v>1</v>
      </c>
      <c r="J368" s="81"/>
      <c r="K368" s="81"/>
      <c r="L368" s="81"/>
      <c r="M368" s="81"/>
      <c r="N368" s="81"/>
    </row>
    <row r="369" spans="2:14" ht="15.75" x14ac:dyDescent="0.25">
      <c r="B369" s="361"/>
      <c r="C369" s="361"/>
      <c r="D369" s="364"/>
      <c r="E369" s="3"/>
      <c r="F369" s="24" t="s">
        <v>802</v>
      </c>
      <c r="G369" s="3"/>
      <c r="H369" s="3"/>
      <c r="I369" s="3">
        <v>1</v>
      </c>
      <c r="J369" s="81"/>
      <c r="K369" s="81"/>
      <c r="L369" s="81"/>
      <c r="M369" s="81"/>
      <c r="N369" s="81"/>
    </row>
    <row r="370" spans="2:14" ht="15.75" x14ac:dyDescent="0.25">
      <c r="B370" s="362"/>
      <c r="C370" s="362"/>
      <c r="D370" s="365"/>
      <c r="E370" s="3"/>
      <c r="F370" s="24" t="s">
        <v>803</v>
      </c>
      <c r="G370" s="3"/>
      <c r="H370" s="3"/>
      <c r="I370" s="3">
        <v>2</v>
      </c>
      <c r="J370" s="81"/>
      <c r="K370" s="81"/>
      <c r="L370" s="81"/>
      <c r="M370" s="81"/>
      <c r="N370" s="81"/>
    </row>
    <row r="371" spans="2:14" ht="15.75" x14ac:dyDescent="0.25">
      <c r="B371" s="360">
        <v>48</v>
      </c>
      <c r="C371" s="360" t="s">
        <v>38</v>
      </c>
      <c r="D371" s="389" t="s">
        <v>804</v>
      </c>
      <c r="E371" s="3"/>
      <c r="F371" s="24" t="s">
        <v>805</v>
      </c>
      <c r="G371" s="3"/>
      <c r="H371" s="3"/>
      <c r="I371" s="3">
        <v>1</v>
      </c>
      <c r="J371" s="81"/>
      <c r="K371" s="81"/>
      <c r="L371" s="81"/>
      <c r="M371" s="81"/>
      <c r="N371" s="81"/>
    </row>
    <row r="372" spans="2:14" ht="15.75" x14ac:dyDescent="0.25">
      <c r="B372" s="361"/>
      <c r="C372" s="361"/>
      <c r="D372" s="390"/>
      <c r="E372" s="3"/>
      <c r="F372" s="24" t="s">
        <v>795</v>
      </c>
      <c r="G372" s="3"/>
      <c r="H372" s="3"/>
      <c r="I372" s="3">
        <v>1</v>
      </c>
      <c r="J372" s="81"/>
      <c r="K372" s="81"/>
      <c r="L372" s="81"/>
      <c r="M372" s="81"/>
      <c r="N372" s="81"/>
    </row>
    <row r="373" spans="2:14" ht="15.75" x14ac:dyDescent="0.25">
      <c r="B373" s="361"/>
      <c r="C373" s="361"/>
      <c r="D373" s="390"/>
      <c r="E373" s="3"/>
      <c r="F373" s="24" t="s">
        <v>806</v>
      </c>
      <c r="G373" s="3"/>
      <c r="H373" s="3"/>
      <c r="I373" s="3">
        <v>1</v>
      </c>
      <c r="J373" s="81"/>
      <c r="K373" s="81"/>
      <c r="L373" s="81"/>
      <c r="M373" s="81"/>
      <c r="N373" s="81"/>
    </row>
    <row r="374" spans="2:14" ht="15.75" x14ac:dyDescent="0.25">
      <c r="B374" s="361"/>
      <c r="C374" s="361"/>
      <c r="D374" s="390"/>
      <c r="E374" s="3"/>
      <c r="F374" s="24" t="s">
        <v>807</v>
      </c>
      <c r="G374" s="3"/>
      <c r="H374" s="3"/>
      <c r="I374" s="3">
        <v>1</v>
      </c>
      <c r="J374" s="81"/>
      <c r="K374" s="81"/>
      <c r="L374" s="81"/>
      <c r="M374" s="81"/>
      <c r="N374" s="81"/>
    </row>
    <row r="375" spans="2:14" ht="15.75" x14ac:dyDescent="0.25">
      <c r="B375" s="362"/>
      <c r="C375" s="362"/>
      <c r="D375" s="391"/>
      <c r="E375" s="3"/>
      <c r="F375" s="24" t="s">
        <v>808</v>
      </c>
      <c r="G375" s="3"/>
      <c r="H375" s="3"/>
      <c r="I375" s="3">
        <v>3</v>
      </c>
      <c r="J375" s="81"/>
      <c r="K375" s="81"/>
      <c r="L375" s="81"/>
      <c r="M375" s="81"/>
      <c r="N375" s="81"/>
    </row>
    <row r="376" spans="2:14" ht="15.75" x14ac:dyDescent="0.25">
      <c r="B376" s="360">
        <v>49</v>
      </c>
      <c r="C376" s="360" t="s">
        <v>38</v>
      </c>
      <c r="D376" s="389" t="s">
        <v>809</v>
      </c>
      <c r="E376" s="3"/>
      <c r="F376" s="24" t="s">
        <v>805</v>
      </c>
      <c r="G376" s="3"/>
      <c r="H376" s="3"/>
      <c r="I376" s="3">
        <v>1</v>
      </c>
      <c r="J376" s="81"/>
      <c r="K376" s="81"/>
      <c r="L376" s="81"/>
      <c r="M376" s="81"/>
      <c r="N376" s="81"/>
    </row>
    <row r="377" spans="2:14" ht="15.75" x14ac:dyDescent="0.25">
      <c r="B377" s="361"/>
      <c r="C377" s="361"/>
      <c r="D377" s="390"/>
      <c r="E377" s="3"/>
      <c r="F377" s="24" t="s">
        <v>795</v>
      </c>
      <c r="G377" s="3"/>
      <c r="H377" s="3"/>
      <c r="I377" s="3">
        <v>1</v>
      </c>
      <c r="J377" s="81"/>
      <c r="K377" s="81"/>
      <c r="L377" s="81"/>
      <c r="M377" s="81"/>
      <c r="N377" s="81"/>
    </row>
    <row r="378" spans="2:14" ht="15.75" x14ac:dyDescent="0.25">
      <c r="B378" s="361"/>
      <c r="C378" s="361"/>
      <c r="D378" s="390"/>
      <c r="E378" s="3"/>
      <c r="F378" s="24" t="s">
        <v>810</v>
      </c>
      <c r="G378" s="3"/>
      <c r="H378" s="3"/>
      <c r="I378" s="3">
        <v>1</v>
      </c>
      <c r="J378" s="81"/>
      <c r="K378" s="81"/>
      <c r="L378" s="81"/>
      <c r="M378" s="81"/>
      <c r="N378" s="81"/>
    </row>
    <row r="379" spans="2:14" ht="15.75" x14ac:dyDescent="0.25">
      <c r="B379" s="361"/>
      <c r="C379" s="361"/>
      <c r="D379" s="390"/>
      <c r="E379" s="3"/>
      <c r="F379" s="24" t="s">
        <v>811</v>
      </c>
      <c r="G379" s="3"/>
      <c r="H379" s="3"/>
      <c r="I379" s="3">
        <v>30</v>
      </c>
      <c r="J379" s="81"/>
      <c r="K379" s="81"/>
      <c r="L379" s="81"/>
      <c r="M379" s="81"/>
      <c r="N379" s="81"/>
    </row>
    <row r="380" spans="2:14" ht="15.75" x14ac:dyDescent="0.25">
      <c r="B380" s="362"/>
      <c r="C380" s="362"/>
      <c r="D380" s="391"/>
      <c r="E380" s="3"/>
      <c r="F380" s="24" t="s">
        <v>812</v>
      </c>
      <c r="G380" s="3"/>
      <c r="H380" s="3"/>
      <c r="I380" s="3">
        <v>30</v>
      </c>
      <c r="J380" s="81"/>
      <c r="K380" s="81"/>
      <c r="L380" s="81"/>
      <c r="M380" s="81"/>
      <c r="N380" s="81"/>
    </row>
    <row r="381" spans="2:14" ht="15.75" x14ac:dyDescent="0.25">
      <c r="B381" s="360">
        <v>50</v>
      </c>
      <c r="C381" s="360" t="s">
        <v>38</v>
      </c>
      <c r="D381" s="389" t="s">
        <v>813</v>
      </c>
      <c r="E381" s="3"/>
      <c r="F381" s="24" t="s">
        <v>814</v>
      </c>
      <c r="G381" s="3"/>
      <c r="H381" s="3"/>
      <c r="I381" s="3">
        <v>1</v>
      </c>
      <c r="J381" s="81"/>
      <c r="K381" s="81"/>
      <c r="L381" s="81"/>
      <c r="M381" s="81"/>
      <c r="N381" s="81"/>
    </row>
    <row r="382" spans="2:14" ht="15.75" x14ac:dyDescent="0.25">
      <c r="B382" s="361"/>
      <c r="C382" s="361"/>
      <c r="D382" s="390"/>
      <c r="E382" s="3"/>
      <c r="F382" s="24" t="s">
        <v>815</v>
      </c>
      <c r="G382" s="3"/>
      <c r="H382" s="3"/>
      <c r="I382" s="3">
        <v>1</v>
      </c>
      <c r="J382" s="81"/>
      <c r="K382" s="81"/>
      <c r="L382" s="81"/>
      <c r="M382" s="81"/>
      <c r="N382" s="81"/>
    </row>
    <row r="383" spans="2:14" ht="15.75" x14ac:dyDescent="0.25">
      <c r="B383" s="361"/>
      <c r="C383" s="361"/>
      <c r="D383" s="390"/>
      <c r="E383" s="3"/>
      <c r="F383" s="24" t="s">
        <v>816</v>
      </c>
      <c r="G383" s="3"/>
      <c r="H383" s="3"/>
      <c r="I383" s="3">
        <v>1</v>
      </c>
      <c r="J383" s="81"/>
      <c r="K383" s="81"/>
      <c r="L383" s="81"/>
      <c r="M383" s="81"/>
      <c r="N383" s="81"/>
    </row>
    <row r="384" spans="2:14" ht="15.75" x14ac:dyDescent="0.25">
      <c r="B384" s="361"/>
      <c r="C384" s="361"/>
      <c r="D384" s="390"/>
      <c r="E384" s="3"/>
      <c r="F384" s="24" t="s">
        <v>817</v>
      </c>
      <c r="G384" s="3"/>
      <c r="H384" s="3"/>
      <c r="I384" s="3">
        <v>1</v>
      </c>
      <c r="J384" s="81"/>
      <c r="K384" s="81"/>
      <c r="L384" s="81"/>
      <c r="M384" s="81"/>
      <c r="N384" s="81"/>
    </row>
    <row r="385" spans="2:14" ht="15.75" x14ac:dyDescent="0.25">
      <c r="B385" s="361"/>
      <c r="C385" s="361"/>
      <c r="D385" s="390"/>
      <c r="E385" s="3"/>
      <c r="F385" s="24" t="s">
        <v>818</v>
      </c>
      <c r="G385" s="3"/>
      <c r="H385" s="3"/>
      <c r="I385" s="3">
        <v>1</v>
      </c>
      <c r="J385" s="81"/>
      <c r="K385" s="81"/>
      <c r="L385" s="81"/>
      <c r="M385" s="81"/>
      <c r="N385" s="81"/>
    </row>
    <row r="386" spans="2:14" ht="15.75" x14ac:dyDescent="0.25">
      <c r="B386" s="361"/>
      <c r="C386" s="361"/>
      <c r="D386" s="390"/>
      <c r="E386" s="3"/>
      <c r="F386" s="24" t="s">
        <v>819</v>
      </c>
      <c r="G386" s="3"/>
      <c r="H386" s="3"/>
      <c r="I386" s="3">
        <v>2</v>
      </c>
      <c r="J386" s="81"/>
      <c r="K386" s="81"/>
      <c r="L386" s="81"/>
      <c r="M386" s="81"/>
      <c r="N386" s="81"/>
    </row>
    <row r="387" spans="2:14" ht="15.75" x14ac:dyDescent="0.25">
      <c r="B387" s="362"/>
      <c r="C387" s="362"/>
      <c r="D387" s="391"/>
      <c r="E387" s="3"/>
      <c r="F387" s="24" t="s">
        <v>820</v>
      </c>
      <c r="G387" s="3"/>
      <c r="H387" s="3"/>
      <c r="I387" s="3">
        <v>1</v>
      </c>
      <c r="J387" s="81"/>
      <c r="K387" s="81"/>
      <c r="L387" s="81"/>
      <c r="M387" s="81"/>
      <c r="N387" s="81"/>
    </row>
    <row r="388" spans="2:14" ht="15.75" x14ac:dyDescent="0.25">
      <c r="B388" s="360">
        <v>51</v>
      </c>
      <c r="C388" s="360" t="s">
        <v>38</v>
      </c>
      <c r="D388" s="389" t="s">
        <v>688</v>
      </c>
      <c r="E388" s="3"/>
      <c r="F388" s="24" t="s">
        <v>821</v>
      </c>
      <c r="G388" s="3"/>
      <c r="H388" s="3"/>
      <c r="I388" s="3">
        <v>2</v>
      </c>
      <c r="J388" s="81"/>
      <c r="K388" s="81"/>
      <c r="L388" s="81"/>
      <c r="M388" s="81"/>
      <c r="N388" s="81"/>
    </row>
    <row r="389" spans="2:14" ht="15.75" x14ac:dyDescent="0.25">
      <c r="B389" s="361"/>
      <c r="C389" s="361"/>
      <c r="D389" s="390"/>
      <c r="E389" s="3"/>
      <c r="F389" s="24" t="s">
        <v>822</v>
      </c>
      <c r="G389" s="3"/>
      <c r="H389" s="3"/>
      <c r="I389" s="3">
        <v>1</v>
      </c>
      <c r="J389" s="81"/>
      <c r="K389" s="81"/>
      <c r="L389" s="81"/>
      <c r="M389" s="81"/>
      <c r="N389" s="81"/>
    </row>
    <row r="390" spans="2:14" ht="15.75" x14ac:dyDescent="0.25">
      <c r="B390" s="361"/>
      <c r="C390" s="361"/>
      <c r="D390" s="390"/>
      <c r="E390" s="3"/>
      <c r="F390" s="23" t="s">
        <v>823</v>
      </c>
      <c r="G390" s="3"/>
      <c r="H390" s="3"/>
      <c r="I390" s="3">
        <v>1</v>
      </c>
      <c r="J390" s="81"/>
      <c r="K390" s="81"/>
      <c r="L390" s="81"/>
      <c r="M390" s="81"/>
      <c r="N390" s="81"/>
    </row>
    <row r="391" spans="2:14" ht="15.75" x14ac:dyDescent="0.25">
      <c r="B391" s="361"/>
      <c r="C391" s="361"/>
      <c r="D391" s="390"/>
      <c r="E391" s="3"/>
      <c r="F391" s="23" t="s">
        <v>824</v>
      </c>
      <c r="G391" s="3"/>
      <c r="H391" s="3"/>
      <c r="I391" s="3">
        <v>4</v>
      </c>
      <c r="J391" s="81"/>
      <c r="K391" s="81"/>
      <c r="L391" s="81"/>
      <c r="M391" s="81"/>
      <c r="N391" s="81"/>
    </row>
    <row r="392" spans="2:14" ht="15.75" x14ac:dyDescent="0.25">
      <c r="B392" s="362"/>
      <c r="C392" s="362"/>
      <c r="D392" s="391"/>
      <c r="E392" s="3"/>
      <c r="F392" s="23" t="s">
        <v>825</v>
      </c>
      <c r="G392" s="3"/>
      <c r="H392" s="3"/>
      <c r="I392" s="3">
        <v>1</v>
      </c>
      <c r="J392" s="81"/>
      <c r="K392" s="81"/>
      <c r="L392" s="81"/>
      <c r="M392" s="81"/>
      <c r="N392" s="81"/>
    </row>
    <row r="393" spans="2:14" ht="21.75" customHeight="1" x14ac:dyDescent="0.25">
      <c r="B393" s="389">
        <v>52</v>
      </c>
      <c r="C393" s="389" t="s">
        <v>38</v>
      </c>
      <c r="D393" s="355" t="s">
        <v>826</v>
      </c>
      <c r="E393" s="3"/>
      <c r="F393" s="23" t="s">
        <v>827</v>
      </c>
      <c r="G393" s="3"/>
      <c r="H393" s="3"/>
      <c r="I393" s="3">
        <v>2</v>
      </c>
      <c r="J393" s="3"/>
      <c r="K393" s="3"/>
      <c r="L393" s="3"/>
      <c r="M393" s="3"/>
      <c r="N393" s="3"/>
    </row>
    <row r="394" spans="2:14" ht="15.75" x14ac:dyDescent="0.25">
      <c r="B394" s="390"/>
      <c r="C394" s="390"/>
      <c r="D394" s="364"/>
      <c r="E394" s="3"/>
      <c r="F394" s="23" t="s">
        <v>828</v>
      </c>
      <c r="G394" s="3"/>
      <c r="H394" s="3"/>
      <c r="I394" s="3">
        <v>1</v>
      </c>
      <c r="J394" s="3"/>
      <c r="K394" s="3"/>
      <c r="L394" s="3"/>
      <c r="M394" s="3"/>
      <c r="N394" s="3"/>
    </row>
    <row r="395" spans="2:14" ht="15.75" x14ac:dyDescent="0.25">
      <c r="B395" s="390"/>
      <c r="C395" s="390"/>
      <c r="D395" s="364"/>
      <c r="E395" s="3"/>
      <c r="F395" s="23" t="s">
        <v>829</v>
      </c>
      <c r="G395" s="3"/>
      <c r="H395" s="3"/>
      <c r="I395" s="3">
        <v>1</v>
      </c>
      <c r="J395" s="3"/>
      <c r="K395" s="3"/>
      <c r="L395" s="3"/>
      <c r="M395" s="3"/>
      <c r="N395" s="3"/>
    </row>
    <row r="396" spans="2:14" ht="15.75" x14ac:dyDescent="0.25">
      <c r="B396" s="390"/>
      <c r="C396" s="390"/>
      <c r="D396" s="364"/>
      <c r="E396" s="3"/>
      <c r="F396" s="23" t="s">
        <v>830</v>
      </c>
      <c r="G396" s="3"/>
      <c r="H396" s="3" t="s">
        <v>831</v>
      </c>
      <c r="I396" s="3">
        <v>2</v>
      </c>
      <c r="J396" s="3"/>
      <c r="K396" s="3"/>
      <c r="L396" s="3"/>
      <c r="M396" s="3"/>
      <c r="N396" s="3"/>
    </row>
    <row r="397" spans="2:14" ht="15.75" x14ac:dyDescent="0.25">
      <c r="B397" s="391"/>
      <c r="C397" s="391"/>
      <c r="D397" s="365"/>
      <c r="E397" s="3"/>
      <c r="F397" s="24" t="s">
        <v>832</v>
      </c>
      <c r="G397" s="3"/>
      <c r="H397" s="3"/>
      <c r="I397" s="3">
        <v>3</v>
      </c>
      <c r="J397" s="3"/>
      <c r="K397" s="3"/>
      <c r="L397" s="3"/>
      <c r="M397" s="3"/>
      <c r="N397" s="3"/>
    </row>
    <row r="398" spans="2:14" ht="18.75" x14ac:dyDescent="0.3">
      <c r="B398" s="377" t="s">
        <v>17</v>
      </c>
      <c r="C398" s="378"/>
      <c r="D398" s="378"/>
      <c r="E398" s="378"/>
      <c r="F398" s="378"/>
      <c r="G398" s="379"/>
      <c r="H398" s="53"/>
      <c r="I398" s="53"/>
      <c r="J398" s="53"/>
      <c r="K398" s="53">
        <f>K393+K394+K395+K396+K397</f>
        <v>0</v>
      </c>
      <c r="L398" s="53"/>
      <c r="M398" s="53">
        <f>M393+M394+M395+M396+M397</f>
        <v>0</v>
      </c>
      <c r="N398" s="53"/>
    </row>
    <row r="399" spans="2:14" ht="15.75" x14ac:dyDescent="0.25">
      <c r="B399" s="392" t="s">
        <v>21</v>
      </c>
      <c r="C399" s="392"/>
      <c r="D399" s="392"/>
      <c r="E399" s="392"/>
      <c r="F399" s="392"/>
      <c r="G399" s="392"/>
      <c r="H399" s="392"/>
      <c r="I399" s="392"/>
      <c r="J399" s="392"/>
      <c r="K399" s="392"/>
      <c r="L399" s="392"/>
      <c r="M399" s="392"/>
      <c r="N399" s="392"/>
    </row>
    <row r="400" spans="2:14" ht="31.5" x14ac:dyDescent="0.25">
      <c r="B400" s="360">
        <v>53</v>
      </c>
      <c r="C400" s="360" t="s">
        <v>38</v>
      </c>
      <c r="D400" s="360"/>
      <c r="E400" s="360" t="s">
        <v>930</v>
      </c>
      <c r="F400" s="207" t="s">
        <v>1186</v>
      </c>
      <c r="G400" s="15"/>
      <c r="H400" s="15" t="s">
        <v>56</v>
      </c>
      <c r="I400" s="15">
        <v>6.1</v>
      </c>
      <c r="J400" s="15">
        <v>146000</v>
      </c>
      <c r="K400" s="15">
        <f>I400*J400</f>
        <v>890600</v>
      </c>
      <c r="L400" s="120" t="s">
        <v>1269</v>
      </c>
      <c r="M400" s="15">
        <f>K400</f>
        <v>890600</v>
      </c>
      <c r="N400" s="81"/>
    </row>
    <row r="401" spans="2:14" ht="31.5" x14ac:dyDescent="0.25">
      <c r="B401" s="362"/>
      <c r="C401" s="362"/>
      <c r="D401" s="362"/>
      <c r="E401" s="362"/>
      <c r="F401" s="88" t="s">
        <v>951</v>
      </c>
      <c r="G401" s="85"/>
      <c r="H401" s="85" t="s">
        <v>23</v>
      </c>
      <c r="I401" s="85">
        <v>4</v>
      </c>
      <c r="J401" s="85"/>
      <c r="K401" s="85"/>
      <c r="L401" s="129"/>
      <c r="M401" s="85">
        <f>K401</f>
        <v>0</v>
      </c>
      <c r="N401" s="81"/>
    </row>
    <row r="402" spans="2:14" ht="31.5" customHeight="1" x14ac:dyDescent="0.25">
      <c r="B402" s="383">
        <v>54</v>
      </c>
      <c r="C402" s="383" t="s">
        <v>38</v>
      </c>
      <c r="D402" s="383" t="s">
        <v>331</v>
      </c>
      <c r="E402" s="383" t="s">
        <v>332</v>
      </c>
      <c r="F402" s="234" t="s">
        <v>333</v>
      </c>
      <c r="G402" s="30"/>
      <c r="H402" s="30" t="s">
        <v>23</v>
      </c>
      <c r="I402" s="30">
        <v>300</v>
      </c>
      <c r="J402" s="30">
        <v>1915</v>
      </c>
      <c r="K402" s="30">
        <f>J402*I402</f>
        <v>574500</v>
      </c>
      <c r="L402" s="386" t="s">
        <v>903</v>
      </c>
      <c r="M402" s="386">
        <f>SUM(K402:K406)</f>
        <v>1029260</v>
      </c>
      <c r="N402" s="36"/>
    </row>
    <row r="403" spans="2:14" ht="15.75" x14ac:dyDescent="0.25">
      <c r="B403" s="384"/>
      <c r="C403" s="384"/>
      <c r="D403" s="384"/>
      <c r="E403" s="384"/>
      <c r="F403" s="234" t="s">
        <v>334</v>
      </c>
      <c r="G403" s="30"/>
      <c r="H403" s="30" t="s">
        <v>23</v>
      </c>
      <c r="I403" s="30">
        <v>160</v>
      </c>
      <c r="J403" s="30">
        <v>1340</v>
      </c>
      <c r="K403" s="30">
        <f t="shared" ref="K403:K410" si="21">J403*I403</f>
        <v>214400</v>
      </c>
      <c r="L403" s="387"/>
      <c r="M403" s="387"/>
      <c r="N403" s="36"/>
    </row>
    <row r="404" spans="2:14" ht="31.5" x14ac:dyDescent="0.25">
      <c r="B404" s="384"/>
      <c r="C404" s="384"/>
      <c r="D404" s="384"/>
      <c r="E404" s="384"/>
      <c r="F404" s="234" t="s">
        <v>335</v>
      </c>
      <c r="G404" s="30"/>
      <c r="H404" s="30" t="s">
        <v>23</v>
      </c>
      <c r="I404" s="30">
        <v>100</v>
      </c>
      <c r="J404" s="30">
        <v>1170</v>
      </c>
      <c r="K404" s="30">
        <f t="shared" si="21"/>
        <v>117000</v>
      </c>
      <c r="L404" s="387"/>
      <c r="M404" s="387"/>
      <c r="N404" s="36"/>
    </row>
    <row r="405" spans="2:14" ht="15.75" x14ac:dyDescent="0.25">
      <c r="B405" s="384"/>
      <c r="C405" s="384"/>
      <c r="D405" s="384"/>
      <c r="E405" s="384"/>
      <c r="F405" s="234" t="s">
        <v>336</v>
      </c>
      <c r="G405" s="30"/>
      <c r="H405" s="30" t="s">
        <v>23</v>
      </c>
      <c r="I405" s="30">
        <v>200</v>
      </c>
      <c r="J405" s="30">
        <v>450</v>
      </c>
      <c r="K405" s="30">
        <f t="shared" si="21"/>
        <v>90000</v>
      </c>
      <c r="L405" s="387"/>
      <c r="M405" s="387"/>
      <c r="N405" s="36"/>
    </row>
    <row r="406" spans="2:14" ht="15.75" x14ac:dyDescent="0.25">
      <c r="B406" s="384"/>
      <c r="C406" s="384"/>
      <c r="D406" s="384"/>
      <c r="E406" s="384"/>
      <c r="F406" s="234" t="s">
        <v>1221</v>
      </c>
      <c r="G406" s="30"/>
      <c r="H406" s="30" t="s">
        <v>23</v>
      </c>
      <c r="I406" s="30">
        <v>2</v>
      </c>
      <c r="J406" s="30">
        <v>16680</v>
      </c>
      <c r="K406" s="30">
        <f t="shared" si="21"/>
        <v>33360</v>
      </c>
      <c r="L406" s="387"/>
      <c r="M406" s="388"/>
      <c r="N406" s="36"/>
    </row>
    <row r="407" spans="2:14" ht="15.75" x14ac:dyDescent="0.25">
      <c r="B407" s="384"/>
      <c r="C407" s="384"/>
      <c r="D407" s="384"/>
      <c r="E407" s="385"/>
      <c r="F407" s="29" t="s">
        <v>893</v>
      </c>
      <c r="G407" s="30"/>
      <c r="H407" s="30"/>
      <c r="I407" s="30"/>
      <c r="J407" s="30"/>
      <c r="K407" s="30"/>
      <c r="L407" s="388"/>
      <c r="M407" s="30">
        <v>591752</v>
      </c>
      <c r="N407" s="97"/>
    </row>
    <row r="408" spans="2:14" ht="52.5" customHeight="1" x14ac:dyDescent="0.25">
      <c r="B408" s="384"/>
      <c r="C408" s="384"/>
      <c r="D408" s="384"/>
      <c r="E408" s="383" t="s">
        <v>337</v>
      </c>
      <c r="F408" s="234" t="s">
        <v>902</v>
      </c>
      <c r="G408" s="30"/>
      <c r="H408" s="30" t="s">
        <v>338</v>
      </c>
      <c r="I408" s="30">
        <v>300</v>
      </c>
      <c r="J408" s="30">
        <v>3200</v>
      </c>
      <c r="K408" s="30">
        <f t="shared" si="21"/>
        <v>960000</v>
      </c>
      <c r="L408" s="386" t="s">
        <v>903</v>
      </c>
      <c r="M408" s="386">
        <f>SUM(K408:K410)</f>
        <v>1019200</v>
      </c>
      <c r="N408" s="455"/>
    </row>
    <row r="409" spans="2:14" ht="15.75" x14ac:dyDescent="0.25">
      <c r="B409" s="384"/>
      <c r="C409" s="384"/>
      <c r="D409" s="384"/>
      <c r="E409" s="384"/>
      <c r="F409" s="234" t="s">
        <v>339</v>
      </c>
      <c r="G409" s="30"/>
      <c r="H409" s="30" t="s">
        <v>23</v>
      </c>
      <c r="I409" s="30">
        <v>350</v>
      </c>
      <c r="J409" s="30">
        <v>112</v>
      </c>
      <c r="K409" s="30">
        <f t="shared" si="21"/>
        <v>39200</v>
      </c>
      <c r="L409" s="387"/>
      <c r="M409" s="387"/>
      <c r="N409" s="456"/>
    </row>
    <row r="410" spans="2:14" ht="15.75" x14ac:dyDescent="0.25">
      <c r="B410" s="384"/>
      <c r="C410" s="384"/>
      <c r="D410" s="384"/>
      <c r="E410" s="384"/>
      <c r="F410" s="234" t="s">
        <v>909</v>
      </c>
      <c r="G410" s="30"/>
      <c r="H410" s="30" t="s">
        <v>46</v>
      </c>
      <c r="I410" s="30">
        <v>100</v>
      </c>
      <c r="J410" s="30">
        <v>200</v>
      </c>
      <c r="K410" s="30">
        <f t="shared" si="21"/>
        <v>20000</v>
      </c>
      <c r="L410" s="387"/>
      <c r="M410" s="388"/>
      <c r="N410" s="456"/>
    </row>
    <row r="411" spans="2:14" ht="15.75" x14ac:dyDescent="0.25">
      <c r="B411" s="384"/>
      <c r="C411" s="384"/>
      <c r="D411" s="384"/>
      <c r="E411" s="385"/>
      <c r="F411" s="29" t="s">
        <v>413</v>
      </c>
      <c r="G411" s="30"/>
      <c r="H411" s="30"/>
      <c r="I411" s="30"/>
      <c r="J411" s="30"/>
      <c r="K411" s="30"/>
      <c r="L411" s="388"/>
      <c r="M411" s="30">
        <v>677942</v>
      </c>
      <c r="N411" s="457"/>
    </row>
    <row r="412" spans="2:14" ht="15.75" customHeight="1" x14ac:dyDescent="0.25">
      <c r="B412" s="384"/>
      <c r="C412" s="384"/>
      <c r="D412" s="384"/>
      <c r="E412" s="383" t="s">
        <v>904</v>
      </c>
      <c r="F412" s="223" t="s">
        <v>905</v>
      </c>
      <c r="G412" s="30"/>
      <c r="H412" s="30" t="s">
        <v>23</v>
      </c>
      <c r="I412" s="30">
        <v>60</v>
      </c>
      <c r="J412" s="30">
        <v>450</v>
      </c>
      <c r="K412" s="30">
        <f>J412*I412</f>
        <v>27000</v>
      </c>
      <c r="L412" s="386" t="s">
        <v>415</v>
      </c>
      <c r="M412" s="386">
        <f>SUM(K412:K415)</f>
        <v>81400</v>
      </c>
      <c r="N412" s="90"/>
    </row>
    <row r="413" spans="2:14" ht="15.75" x14ac:dyDescent="0.25">
      <c r="B413" s="384"/>
      <c r="C413" s="384"/>
      <c r="D413" s="384"/>
      <c r="E413" s="384"/>
      <c r="F413" s="224" t="s">
        <v>906</v>
      </c>
      <c r="G413" s="30"/>
      <c r="H413" s="30" t="s">
        <v>68</v>
      </c>
      <c r="I413" s="30">
        <v>200</v>
      </c>
      <c r="J413" s="30">
        <v>72</v>
      </c>
      <c r="K413" s="30">
        <f>J413*I413</f>
        <v>14400</v>
      </c>
      <c r="L413" s="387"/>
      <c r="M413" s="387"/>
      <c r="N413" s="90"/>
    </row>
    <row r="414" spans="2:14" ht="15.75" x14ac:dyDescent="0.25">
      <c r="B414" s="384"/>
      <c r="C414" s="384"/>
      <c r="D414" s="384"/>
      <c r="E414" s="384"/>
      <c r="F414" s="236" t="s">
        <v>907</v>
      </c>
      <c r="G414" s="30"/>
      <c r="H414" s="30" t="s">
        <v>46</v>
      </c>
      <c r="I414" s="30">
        <v>100</v>
      </c>
      <c r="J414" s="30">
        <v>200</v>
      </c>
      <c r="K414" s="30">
        <f>J414*I414</f>
        <v>20000</v>
      </c>
      <c r="L414" s="387"/>
      <c r="M414" s="387"/>
      <c r="N414" s="90"/>
    </row>
    <row r="415" spans="2:14" ht="15.75" x14ac:dyDescent="0.25">
      <c r="B415" s="385"/>
      <c r="C415" s="385"/>
      <c r="D415" s="385"/>
      <c r="E415" s="385"/>
      <c r="F415" s="236" t="s">
        <v>908</v>
      </c>
      <c r="G415" s="30"/>
      <c r="H415" s="30" t="s">
        <v>46</v>
      </c>
      <c r="I415" s="30">
        <v>100</v>
      </c>
      <c r="J415" s="30">
        <v>200</v>
      </c>
      <c r="K415" s="30">
        <f>J415*I415</f>
        <v>20000</v>
      </c>
      <c r="L415" s="388"/>
      <c r="M415" s="388"/>
      <c r="N415" s="90"/>
    </row>
    <row r="416" spans="2:14" ht="49.5" customHeight="1" x14ac:dyDescent="0.25">
      <c r="B416" s="135">
        <v>55</v>
      </c>
      <c r="C416" s="135" t="s">
        <v>38</v>
      </c>
      <c r="D416" s="135" t="s">
        <v>1030</v>
      </c>
      <c r="E416" s="135" t="s">
        <v>1031</v>
      </c>
      <c r="F416" s="245" t="s">
        <v>1032</v>
      </c>
      <c r="G416" s="30"/>
      <c r="H416" s="30" t="s">
        <v>23</v>
      </c>
      <c r="I416" s="30">
        <v>2</v>
      </c>
      <c r="J416" s="30">
        <v>517558</v>
      </c>
      <c r="K416" s="30">
        <f>J416*I416</f>
        <v>1035116</v>
      </c>
      <c r="L416" s="109" t="s">
        <v>1033</v>
      </c>
      <c r="M416" s="109">
        <f>K416</f>
        <v>1035116</v>
      </c>
      <c r="N416" s="90"/>
    </row>
    <row r="417" spans="2:14" ht="31.5" x14ac:dyDescent="0.25">
      <c r="B417" s="30">
        <v>56</v>
      </c>
      <c r="C417" s="30" t="s">
        <v>38</v>
      </c>
      <c r="D417" s="30" t="s">
        <v>340</v>
      </c>
      <c r="E417" s="30" t="s">
        <v>341</v>
      </c>
      <c r="F417" s="29" t="s">
        <v>37</v>
      </c>
      <c r="G417" s="30"/>
      <c r="H417" s="30"/>
      <c r="I417" s="30"/>
      <c r="J417" s="30"/>
      <c r="K417" s="30"/>
      <c r="L417" s="30" t="s">
        <v>26</v>
      </c>
      <c r="M417" s="30"/>
      <c r="N417" s="77"/>
    </row>
    <row r="418" spans="2:14" ht="68.25" customHeight="1" x14ac:dyDescent="0.25">
      <c r="B418" s="28">
        <v>57</v>
      </c>
      <c r="C418" s="28" t="s">
        <v>38</v>
      </c>
      <c r="D418" s="28" t="s">
        <v>342</v>
      </c>
      <c r="E418" s="28" t="s">
        <v>343</v>
      </c>
      <c r="F418" s="29" t="s">
        <v>37</v>
      </c>
      <c r="G418" s="30"/>
      <c r="H418" s="30"/>
      <c r="I418" s="30"/>
      <c r="J418" s="30"/>
      <c r="K418" s="30"/>
      <c r="L418" s="30" t="s">
        <v>26</v>
      </c>
      <c r="M418" s="30">
        <v>2141784</v>
      </c>
      <c r="N418" s="77"/>
    </row>
    <row r="419" spans="2:14" ht="47.25" x14ac:dyDescent="0.25">
      <c r="B419" s="383">
        <v>58</v>
      </c>
      <c r="C419" s="383" t="s">
        <v>38</v>
      </c>
      <c r="D419" s="383" t="s">
        <v>344</v>
      </c>
      <c r="E419" s="383" t="s">
        <v>345</v>
      </c>
      <c r="F419" s="234" t="s">
        <v>1172</v>
      </c>
      <c r="G419" s="30"/>
      <c r="H419" s="30" t="s">
        <v>134</v>
      </c>
      <c r="I419" s="30">
        <v>250</v>
      </c>
      <c r="J419" s="30">
        <v>2120</v>
      </c>
      <c r="K419" s="30">
        <f>J419*I419</f>
        <v>530000</v>
      </c>
      <c r="L419" s="30" t="s">
        <v>29</v>
      </c>
      <c r="M419" s="386">
        <f>SUM(K419:K441)</f>
        <v>1211120</v>
      </c>
      <c r="N419" s="78" t="s">
        <v>910</v>
      </c>
    </row>
    <row r="420" spans="2:14" ht="18.75" customHeight="1" x14ac:dyDescent="0.25">
      <c r="B420" s="384"/>
      <c r="C420" s="384"/>
      <c r="D420" s="384"/>
      <c r="E420" s="384"/>
      <c r="F420" s="234" t="s">
        <v>346</v>
      </c>
      <c r="G420" s="30"/>
      <c r="H420" s="30" t="s">
        <v>68</v>
      </c>
      <c r="I420" s="30">
        <v>20</v>
      </c>
      <c r="J420" s="30">
        <v>128</v>
      </c>
      <c r="K420" s="28">
        <f t="shared" ref="K420:K437" si="22">J420*I420</f>
        <v>2560</v>
      </c>
      <c r="L420" s="28" t="s">
        <v>29</v>
      </c>
      <c r="M420" s="387"/>
      <c r="N420" s="36"/>
    </row>
    <row r="421" spans="2:14" ht="18.75" customHeight="1" x14ac:dyDescent="0.25">
      <c r="B421" s="384"/>
      <c r="C421" s="384"/>
      <c r="D421" s="384"/>
      <c r="E421" s="384"/>
      <c r="F421" s="234" t="s">
        <v>347</v>
      </c>
      <c r="G421" s="30"/>
      <c r="H421" s="30" t="s">
        <v>68</v>
      </c>
      <c r="I421" s="30">
        <v>15</v>
      </c>
      <c r="J421" s="30">
        <v>140</v>
      </c>
      <c r="K421" s="28">
        <f t="shared" si="22"/>
        <v>2100</v>
      </c>
      <c r="L421" s="28" t="s">
        <v>29</v>
      </c>
      <c r="M421" s="387"/>
      <c r="N421" s="36"/>
    </row>
    <row r="422" spans="2:14" ht="18.75" customHeight="1" x14ac:dyDescent="0.25">
      <c r="B422" s="384"/>
      <c r="C422" s="384"/>
      <c r="D422" s="384"/>
      <c r="E422" s="384"/>
      <c r="F422" s="234" t="s">
        <v>348</v>
      </c>
      <c r="G422" s="30"/>
      <c r="H422" s="30" t="s">
        <v>68</v>
      </c>
      <c r="I422" s="30">
        <v>200</v>
      </c>
      <c r="J422" s="30">
        <v>128</v>
      </c>
      <c r="K422" s="28">
        <f t="shared" si="22"/>
        <v>25600</v>
      </c>
      <c r="L422" s="28" t="s">
        <v>29</v>
      </c>
      <c r="M422" s="387"/>
      <c r="N422" s="36"/>
    </row>
    <row r="423" spans="2:14" ht="18.75" customHeight="1" x14ac:dyDescent="0.25">
      <c r="B423" s="384"/>
      <c r="C423" s="384"/>
      <c r="D423" s="384"/>
      <c r="E423" s="384"/>
      <c r="F423" s="234" t="s">
        <v>349</v>
      </c>
      <c r="G423" s="30"/>
      <c r="H423" s="30" t="s">
        <v>68</v>
      </c>
      <c r="I423" s="30">
        <v>80</v>
      </c>
      <c r="J423" s="30">
        <v>128</v>
      </c>
      <c r="K423" s="28">
        <f t="shared" si="22"/>
        <v>10240</v>
      </c>
      <c r="L423" s="28" t="s">
        <v>29</v>
      </c>
      <c r="M423" s="387"/>
      <c r="N423" s="36"/>
    </row>
    <row r="424" spans="2:14" ht="18.75" customHeight="1" x14ac:dyDescent="0.25">
      <c r="B424" s="384"/>
      <c r="C424" s="384"/>
      <c r="D424" s="384"/>
      <c r="E424" s="384"/>
      <c r="F424" s="234" t="s">
        <v>350</v>
      </c>
      <c r="G424" s="30"/>
      <c r="H424" s="30" t="s">
        <v>68</v>
      </c>
      <c r="I424" s="30">
        <v>80</v>
      </c>
      <c r="J424" s="30">
        <v>126</v>
      </c>
      <c r="K424" s="28">
        <f t="shared" si="22"/>
        <v>10080</v>
      </c>
      <c r="L424" s="28" t="s">
        <v>29</v>
      </c>
      <c r="M424" s="387"/>
      <c r="N424" s="36"/>
    </row>
    <row r="425" spans="2:14" ht="31.5" x14ac:dyDescent="0.25">
      <c r="B425" s="384"/>
      <c r="C425" s="384"/>
      <c r="D425" s="384"/>
      <c r="E425" s="384"/>
      <c r="F425" s="234" t="s">
        <v>351</v>
      </c>
      <c r="G425" s="76"/>
      <c r="H425" s="30" t="s">
        <v>68</v>
      </c>
      <c r="I425" s="30">
        <v>10</v>
      </c>
      <c r="J425" s="30">
        <v>105</v>
      </c>
      <c r="K425" s="28">
        <f t="shared" si="22"/>
        <v>1050</v>
      </c>
      <c r="L425" s="28" t="s">
        <v>29</v>
      </c>
      <c r="M425" s="387"/>
      <c r="N425" s="36"/>
    </row>
    <row r="426" spans="2:14" ht="31.5" x14ac:dyDescent="0.25">
      <c r="B426" s="384"/>
      <c r="C426" s="384"/>
      <c r="D426" s="384"/>
      <c r="E426" s="384"/>
      <c r="F426" s="234" t="s">
        <v>352</v>
      </c>
      <c r="G426" s="76"/>
      <c r="H426" s="30" t="s">
        <v>68</v>
      </c>
      <c r="I426" s="30">
        <v>10</v>
      </c>
      <c r="J426" s="30">
        <v>105</v>
      </c>
      <c r="K426" s="28">
        <f t="shared" si="22"/>
        <v>1050</v>
      </c>
      <c r="L426" s="28" t="s">
        <v>29</v>
      </c>
      <c r="M426" s="387"/>
      <c r="N426" s="36"/>
    </row>
    <row r="427" spans="2:14" ht="31.5" x14ac:dyDescent="0.25">
      <c r="B427" s="384"/>
      <c r="C427" s="384"/>
      <c r="D427" s="384"/>
      <c r="E427" s="384"/>
      <c r="F427" s="234" t="s">
        <v>353</v>
      </c>
      <c r="G427" s="76"/>
      <c r="H427" s="30" t="s">
        <v>68</v>
      </c>
      <c r="I427" s="30">
        <v>70</v>
      </c>
      <c r="J427" s="30">
        <v>105</v>
      </c>
      <c r="K427" s="28">
        <f t="shared" si="22"/>
        <v>7350</v>
      </c>
      <c r="L427" s="28" t="s">
        <v>29</v>
      </c>
      <c r="M427" s="387"/>
      <c r="N427" s="36"/>
    </row>
    <row r="428" spans="2:14" ht="31.5" x14ac:dyDescent="0.25">
      <c r="B428" s="384"/>
      <c r="C428" s="384"/>
      <c r="D428" s="384"/>
      <c r="E428" s="384"/>
      <c r="F428" s="234" t="s">
        <v>354</v>
      </c>
      <c r="G428" s="76"/>
      <c r="H428" s="30" t="s">
        <v>68</v>
      </c>
      <c r="I428" s="30">
        <v>40</v>
      </c>
      <c r="J428" s="30">
        <v>115</v>
      </c>
      <c r="K428" s="28">
        <f t="shared" si="22"/>
        <v>4600</v>
      </c>
      <c r="L428" s="28" t="s">
        <v>29</v>
      </c>
      <c r="M428" s="387"/>
      <c r="N428" s="36"/>
    </row>
    <row r="429" spans="2:14" ht="31.5" x14ac:dyDescent="0.25">
      <c r="B429" s="384"/>
      <c r="C429" s="384"/>
      <c r="D429" s="384"/>
      <c r="E429" s="384"/>
      <c r="F429" s="234" t="s">
        <v>355</v>
      </c>
      <c r="G429" s="76"/>
      <c r="H429" s="30" t="s">
        <v>68</v>
      </c>
      <c r="I429" s="30">
        <v>40</v>
      </c>
      <c r="J429" s="30">
        <v>102</v>
      </c>
      <c r="K429" s="28">
        <f t="shared" si="22"/>
        <v>4080</v>
      </c>
      <c r="L429" s="28" t="s">
        <v>29</v>
      </c>
      <c r="M429" s="387"/>
      <c r="N429" s="36"/>
    </row>
    <row r="430" spans="2:14" ht="21" customHeight="1" x14ac:dyDescent="0.25">
      <c r="B430" s="384"/>
      <c r="C430" s="384"/>
      <c r="D430" s="384"/>
      <c r="E430" s="384"/>
      <c r="F430" s="234" t="s">
        <v>1210</v>
      </c>
      <c r="G430" s="76"/>
      <c r="H430" s="30" t="s">
        <v>23</v>
      </c>
      <c r="I430" s="30">
        <v>50</v>
      </c>
      <c r="J430" s="30">
        <v>800</v>
      </c>
      <c r="K430" s="28">
        <f t="shared" si="22"/>
        <v>40000</v>
      </c>
      <c r="L430" s="28" t="s">
        <v>29</v>
      </c>
      <c r="M430" s="387"/>
      <c r="N430" s="36"/>
    </row>
    <row r="431" spans="2:14" ht="15.75" x14ac:dyDescent="0.25">
      <c r="B431" s="384"/>
      <c r="C431" s="384"/>
      <c r="D431" s="384"/>
      <c r="E431" s="384"/>
      <c r="F431" s="234" t="s">
        <v>1211</v>
      </c>
      <c r="G431" s="76"/>
      <c r="H431" s="30" t="s">
        <v>23</v>
      </c>
      <c r="I431" s="30">
        <v>20</v>
      </c>
      <c r="J431" s="30">
        <v>450</v>
      </c>
      <c r="K431" s="28">
        <f t="shared" si="22"/>
        <v>9000</v>
      </c>
      <c r="L431" s="28" t="s">
        <v>29</v>
      </c>
      <c r="M431" s="387"/>
      <c r="N431" s="36"/>
    </row>
    <row r="432" spans="2:14" ht="31.5" x14ac:dyDescent="0.25">
      <c r="B432" s="384"/>
      <c r="C432" s="384"/>
      <c r="D432" s="384"/>
      <c r="E432" s="384"/>
      <c r="F432" s="234" t="s">
        <v>356</v>
      </c>
      <c r="G432" s="76"/>
      <c r="H432" s="30" t="s">
        <v>71</v>
      </c>
      <c r="I432" s="30">
        <v>150</v>
      </c>
      <c r="J432" s="30">
        <v>255</v>
      </c>
      <c r="K432" s="28">
        <f t="shared" si="22"/>
        <v>38250</v>
      </c>
      <c r="L432" s="28" t="s">
        <v>29</v>
      </c>
      <c r="M432" s="387"/>
      <c r="N432" s="36"/>
    </row>
    <row r="433" spans="2:14" ht="31.5" x14ac:dyDescent="0.25">
      <c r="B433" s="384"/>
      <c r="C433" s="384"/>
      <c r="D433" s="384"/>
      <c r="E433" s="384"/>
      <c r="F433" s="234" t="s">
        <v>357</v>
      </c>
      <c r="G433" s="76"/>
      <c r="H433" s="30" t="s">
        <v>68</v>
      </c>
      <c r="I433" s="30">
        <v>150</v>
      </c>
      <c r="J433" s="30">
        <v>255</v>
      </c>
      <c r="K433" s="30">
        <f t="shared" si="22"/>
        <v>38250</v>
      </c>
      <c r="L433" s="30" t="s">
        <v>29</v>
      </c>
      <c r="M433" s="387"/>
      <c r="N433" s="36"/>
    </row>
    <row r="434" spans="2:14" ht="15.75" hidden="1" customHeight="1" x14ac:dyDescent="0.25">
      <c r="B434" s="384"/>
      <c r="C434" s="384"/>
      <c r="D434" s="384"/>
      <c r="E434" s="384"/>
      <c r="F434" s="227" t="s">
        <v>358</v>
      </c>
      <c r="G434" s="30"/>
      <c r="H434" s="30"/>
      <c r="I434" s="30"/>
      <c r="J434" s="30"/>
      <c r="K434" s="30">
        <f t="shared" si="22"/>
        <v>0</v>
      </c>
      <c r="L434" s="30" t="s">
        <v>29</v>
      </c>
      <c r="M434" s="387"/>
      <c r="N434" s="36" t="s">
        <v>406</v>
      </c>
    </row>
    <row r="435" spans="2:14" ht="36.75" customHeight="1" x14ac:dyDescent="0.25">
      <c r="B435" s="384"/>
      <c r="C435" s="384"/>
      <c r="D435" s="384"/>
      <c r="E435" s="384"/>
      <c r="F435" s="227" t="s">
        <v>1208</v>
      </c>
      <c r="G435" s="30"/>
      <c r="H435" s="30" t="s">
        <v>23</v>
      </c>
      <c r="I435" s="30">
        <v>150</v>
      </c>
      <c r="J435" s="30">
        <v>220</v>
      </c>
      <c r="K435" s="30">
        <f t="shared" si="22"/>
        <v>33000</v>
      </c>
      <c r="L435" s="30" t="s">
        <v>29</v>
      </c>
      <c r="M435" s="387"/>
      <c r="N435" s="36"/>
    </row>
    <row r="436" spans="2:14" ht="36" customHeight="1" x14ac:dyDescent="0.25">
      <c r="B436" s="384"/>
      <c r="C436" s="384"/>
      <c r="D436" s="384"/>
      <c r="E436" s="384"/>
      <c r="F436" s="227" t="s">
        <v>1209</v>
      </c>
      <c r="G436" s="30"/>
      <c r="H436" s="30" t="s">
        <v>23</v>
      </c>
      <c r="I436" s="30">
        <v>150</v>
      </c>
      <c r="J436" s="30">
        <v>220</v>
      </c>
      <c r="K436" s="30">
        <f t="shared" si="22"/>
        <v>33000</v>
      </c>
      <c r="L436" s="30" t="s">
        <v>29</v>
      </c>
      <c r="M436" s="387"/>
      <c r="N436" s="36"/>
    </row>
    <row r="437" spans="2:14" ht="36" customHeight="1" x14ac:dyDescent="0.25">
      <c r="B437" s="384"/>
      <c r="C437" s="384"/>
      <c r="D437" s="384"/>
      <c r="E437" s="384"/>
      <c r="F437" s="227" t="s">
        <v>1212</v>
      </c>
      <c r="G437" s="30"/>
      <c r="H437" s="30" t="s">
        <v>134</v>
      </c>
      <c r="I437" s="30">
        <v>60</v>
      </c>
      <c r="J437" s="30">
        <v>108</v>
      </c>
      <c r="K437" s="30">
        <f t="shared" si="22"/>
        <v>6480</v>
      </c>
      <c r="L437" s="30" t="s">
        <v>29</v>
      </c>
      <c r="M437" s="387"/>
      <c r="N437" s="36"/>
    </row>
    <row r="438" spans="2:14" ht="31.5" x14ac:dyDescent="0.25">
      <c r="B438" s="384"/>
      <c r="C438" s="384"/>
      <c r="D438" s="384"/>
      <c r="E438" s="384"/>
      <c r="F438" s="234" t="s">
        <v>417</v>
      </c>
      <c r="G438" s="30"/>
      <c r="H438" s="30" t="s">
        <v>134</v>
      </c>
      <c r="I438" s="30">
        <v>1000</v>
      </c>
      <c r="J438" s="30">
        <v>300</v>
      </c>
      <c r="K438" s="30">
        <f>I438*J438</f>
        <v>300000</v>
      </c>
      <c r="L438" s="30" t="s">
        <v>29</v>
      </c>
      <c r="M438" s="387"/>
      <c r="N438" s="36"/>
    </row>
    <row r="439" spans="2:14" ht="15.75" x14ac:dyDescent="0.25">
      <c r="B439" s="384"/>
      <c r="C439" s="384"/>
      <c r="D439" s="384"/>
      <c r="E439" s="384"/>
      <c r="F439" s="234" t="s">
        <v>1213</v>
      </c>
      <c r="G439" s="30"/>
      <c r="H439" s="30" t="s">
        <v>1214</v>
      </c>
      <c r="I439" s="30">
        <v>1</v>
      </c>
      <c r="J439" s="30">
        <v>3630</v>
      </c>
      <c r="K439" s="30">
        <f>I439*J439</f>
        <v>3630</v>
      </c>
      <c r="L439" s="30" t="s">
        <v>29</v>
      </c>
      <c r="M439" s="387"/>
      <c r="N439" s="36"/>
    </row>
    <row r="440" spans="2:14" ht="18.75" customHeight="1" x14ac:dyDescent="0.25">
      <c r="B440" s="384"/>
      <c r="C440" s="384"/>
      <c r="D440" s="384"/>
      <c r="E440" s="384"/>
      <c r="F440" s="234" t="s">
        <v>359</v>
      </c>
      <c r="G440" s="30"/>
      <c r="H440" s="30" t="s">
        <v>68</v>
      </c>
      <c r="I440" s="30">
        <v>200</v>
      </c>
      <c r="J440" s="30">
        <v>248</v>
      </c>
      <c r="K440" s="28">
        <f>J440*I440</f>
        <v>49600</v>
      </c>
      <c r="L440" s="28" t="s">
        <v>29</v>
      </c>
      <c r="M440" s="387"/>
      <c r="N440" s="36"/>
    </row>
    <row r="441" spans="2:14" ht="18.75" customHeight="1" x14ac:dyDescent="0.25">
      <c r="B441" s="385"/>
      <c r="C441" s="385"/>
      <c r="D441" s="385"/>
      <c r="E441" s="385"/>
      <c r="F441" s="234" t="s">
        <v>359</v>
      </c>
      <c r="G441" s="30"/>
      <c r="H441" s="30" t="s">
        <v>68</v>
      </c>
      <c r="I441" s="30">
        <v>200</v>
      </c>
      <c r="J441" s="30">
        <v>306</v>
      </c>
      <c r="K441" s="28">
        <f>J441*I441</f>
        <v>61200</v>
      </c>
      <c r="L441" s="28" t="s">
        <v>29</v>
      </c>
      <c r="M441" s="388"/>
      <c r="N441" s="36"/>
    </row>
    <row r="442" spans="2:14" ht="69" customHeight="1" x14ac:dyDescent="0.25">
      <c r="B442" s="383">
        <v>59</v>
      </c>
      <c r="C442" s="383" t="s">
        <v>38</v>
      </c>
      <c r="D442" s="383" t="s">
        <v>360</v>
      </c>
      <c r="E442" s="383" t="s">
        <v>361</v>
      </c>
      <c r="F442" s="206" t="s">
        <v>362</v>
      </c>
      <c r="G442" s="30" t="s">
        <v>363</v>
      </c>
      <c r="H442" s="30" t="s">
        <v>56</v>
      </c>
      <c r="I442" s="30">
        <v>2.2999999999999998</v>
      </c>
      <c r="J442" s="30">
        <v>67500</v>
      </c>
      <c r="K442" s="28">
        <f>J442*I442</f>
        <v>155250</v>
      </c>
      <c r="L442" s="28" t="s">
        <v>29</v>
      </c>
      <c r="M442" s="383">
        <f>SUM(K442:K464)</f>
        <v>1875048</v>
      </c>
      <c r="N442" s="36"/>
    </row>
    <row r="443" spans="2:14" ht="74.25" customHeight="1" x14ac:dyDescent="0.25">
      <c r="B443" s="384"/>
      <c r="C443" s="384"/>
      <c r="D443" s="384"/>
      <c r="E443" s="384"/>
      <c r="F443" s="206" t="s">
        <v>364</v>
      </c>
      <c r="G443" s="30" t="s">
        <v>365</v>
      </c>
      <c r="H443" s="30" t="s">
        <v>56</v>
      </c>
      <c r="I443" s="30">
        <v>7.85</v>
      </c>
      <c r="J443" s="30">
        <v>62000</v>
      </c>
      <c r="K443" s="28">
        <f>J443*I443</f>
        <v>486700</v>
      </c>
      <c r="L443" s="28" t="s">
        <v>29</v>
      </c>
      <c r="M443" s="384"/>
      <c r="N443" s="36"/>
    </row>
    <row r="444" spans="2:14" ht="31.5" hidden="1" customHeight="1" x14ac:dyDescent="0.25">
      <c r="B444" s="384"/>
      <c r="C444" s="384"/>
      <c r="D444" s="384"/>
      <c r="E444" s="384"/>
      <c r="F444" s="206" t="s">
        <v>366</v>
      </c>
      <c r="G444" s="105"/>
      <c r="H444" s="105"/>
      <c r="I444" s="105"/>
      <c r="J444" s="105"/>
      <c r="K444" s="105"/>
      <c r="L444" s="30" t="s">
        <v>29</v>
      </c>
      <c r="M444" s="384"/>
      <c r="N444" s="37" t="s">
        <v>405</v>
      </c>
    </row>
    <row r="445" spans="2:14" ht="15.75" x14ac:dyDescent="0.25">
      <c r="B445" s="384"/>
      <c r="C445" s="384"/>
      <c r="D445" s="384"/>
      <c r="E445" s="384"/>
      <c r="F445" s="206" t="s">
        <v>367</v>
      </c>
      <c r="G445" s="30"/>
      <c r="H445" s="30" t="s">
        <v>56</v>
      </c>
      <c r="I445" s="30">
        <v>0.5</v>
      </c>
      <c r="J445" s="30">
        <v>32400</v>
      </c>
      <c r="K445" s="28">
        <f t="shared" ref="K445:K464" si="23">J445*I445</f>
        <v>16200</v>
      </c>
      <c r="L445" s="28" t="s">
        <v>29</v>
      </c>
      <c r="M445" s="384"/>
      <c r="N445" s="36"/>
    </row>
    <row r="446" spans="2:14" ht="15.75" x14ac:dyDescent="0.25">
      <c r="B446" s="384"/>
      <c r="C446" s="384"/>
      <c r="D446" s="384"/>
      <c r="E446" s="384"/>
      <c r="F446" s="206" t="s">
        <v>368</v>
      </c>
      <c r="G446" s="30"/>
      <c r="H446" s="30" t="s">
        <v>56</v>
      </c>
      <c r="I446" s="30">
        <v>0.5</v>
      </c>
      <c r="J446" s="30">
        <v>32400</v>
      </c>
      <c r="K446" s="28">
        <f t="shared" si="23"/>
        <v>16200</v>
      </c>
      <c r="L446" s="28" t="s">
        <v>29</v>
      </c>
      <c r="M446" s="384"/>
      <c r="N446" s="36"/>
    </row>
    <row r="447" spans="2:14" ht="15.75" x14ac:dyDescent="0.25">
      <c r="B447" s="384"/>
      <c r="C447" s="384"/>
      <c r="D447" s="384"/>
      <c r="E447" s="384"/>
      <c r="F447" s="206" t="s">
        <v>369</v>
      </c>
      <c r="G447" s="30"/>
      <c r="H447" s="30" t="s">
        <v>56</v>
      </c>
      <c r="I447" s="30">
        <v>0.5</v>
      </c>
      <c r="J447" s="30">
        <v>32400</v>
      </c>
      <c r="K447" s="28">
        <f t="shared" si="23"/>
        <v>16200</v>
      </c>
      <c r="L447" s="28" t="s">
        <v>29</v>
      </c>
      <c r="M447" s="384"/>
      <c r="N447" s="36"/>
    </row>
    <row r="448" spans="2:14" ht="15.75" x14ac:dyDescent="0.25">
      <c r="B448" s="384"/>
      <c r="C448" s="384"/>
      <c r="D448" s="384"/>
      <c r="E448" s="384"/>
      <c r="F448" s="206" t="s">
        <v>370</v>
      </c>
      <c r="G448" s="30"/>
      <c r="H448" s="30" t="s">
        <v>56</v>
      </c>
      <c r="I448" s="30">
        <v>0.5</v>
      </c>
      <c r="J448" s="30">
        <v>32400</v>
      </c>
      <c r="K448" s="28">
        <f t="shared" si="23"/>
        <v>16200</v>
      </c>
      <c r="L448" s="28" t="s">
        <v>29</v>
      </c>
      <c r="M448" s="384"/>
      <c r="N448" s="36"/>
    </row>
    <row r="449" spans="2:14" ht="15.75" x14ac:dyDescent="0.25">
      <c r="B449" s="384"/>
      <c r="C449" s="384"/>
      <c r="D449" s="384"/>
      <c r="E449" s="384"/>
      <c r="F449" s="206" t="s">
        <v>371</v>
      </c>
      <c r="G449" s="30"/>
      <c r="H449" s="30" t="s">
        <v>56</v>
      </c>
      <c r="I449" s="30">
        <v>0.5</v>
      </c>
      <c r="J449" s="30">
        <v>32400</v>
      </c>
      <c r="K449" s="28">
        <f t="shared" si="23"/>
        <v>16200</v>
      </c>
      <c r="L449" s="28" t="s">
        <v>29</v>
      </c>
      <c r="M449" s="384"/>
      <c r="N449" s="36"/>
    </row>
    <row r="450" spans="2:14" ht="15.75" x14ac:dyDescent="0.25">
      <c r="B450" s="384"/>
      <c r="C450" s="384"/>
      <c r="D450" s="384"/>
      <c r="E450" s="384"/>
      <c r="F450" s="206" t="s">
        <v>372</v>
      </c>
      <c r="G450" s="30"/>
      <c r="H450" s="30" t="s">
        <v>56</v>
      </c>
      <c r="I450" s="30">
        <v>0.5</v>
      </c>
      <c r="J450" s="30">
        <v>41758</v>
      </c>
      <c r="K450" s="28">
        <f t="shared" si="23"/>
        <v>20879</v>
      </c>
      <c r="L450" s="28" t="s">
        <v>29</v>
      </c>
      <c r="M450" s="384"/>
      <c r="N450" s="36"/>
    </row>
    <row r="451" spans="2:14" ht="15.75" x14ac:dyDescent="0.25">
      <c r="B451" s="384"/>
      <c r="C451" s="384"/>
      <c r="D451" s="384"/>
      <c r="E451" s="384"/>
      <c r="F451" s="206" t="s">
        <v>373</v>
      </c>
      <c r="G451" s="30"/>
      <c r="H451" s="30" t="s">
        <v>56</v>
      </c>
      <c r="I451" s="30">
        <v>0.25</v>
      </c>
      <c r="J451" s="30">
        <v>39000</v>
      </c>
      <c r="K451" s="28">
        <f t="shared" si="23"/>
        <v>9750</v>
      </c>
      <c r="L451" s="28" t="s">
        <v>29</v>
      </c>
      <c r="M451" s="384"/>
      <c r="N451" s="36"/>
    </row>
    <row r="452" spans="2:14" ht="15.75" x14ac:dyDescent="0.25">
      <c r="B452" s="384"/>
      <c r="C452" s="384"/>
      <c r="D452" s="384"/>
      <c r="E452" s="384"/>
      <c r="F452" s="206" t="s">
        <v>374</v>
      </c>
      <c r="G452" s="30"/>
      <c r="H452" s="30" t="s">
        <v>56</v>
      </c>
      <c r="I452" s="30">
        <v>0.25</v>
      </c>
      <c r="J452" s="30">
        <v>39000</v>
      </c>
      <c r="K452" s="28">
        <f t="shared" si="23"/>
        <v>9750</v>
      </c>
      <c r="L452" s="28" t="s">
        <v>29</v>
      </c>
      <c r="M452" s="384"/>
      <c r="N452" s="36"/>
    </row>
    <row r="453" spans="2:14" ht="15.75" x14ac:dyDescent="0.25">
      <c r="B453" s="384"/>
      <c r="C453" s="384"/>
      <c r="D453" s="384"/>
      <c r="E453" s="384"/>
      <c r="F453" s="206" t="s">
        <v>375</v>
      </c>
      <c r="G453" s="30"/>
      <c r="H453" s="30" t="s">
        <v>56</v>
      </c>
      <c r="I453" s="30">
        <v>0.5</v>
      </c>
      <c r="J453" s="30">
        <v>39500</v>
      </c>
      <c r="K453" s="28">
        <f t="shared" si="23"/>
        <v>19750</v>
      </c>
      <c r="L453" s="28" t="s">
        <v>29</v>
      </c>
      <c r="M453" s="384"/>
      <c r="N453" s="36"/>
    </row>
    <row r="454" spans="2:14" ht="15.75" x14ac:dyDescent="0.25">
      <c r="B454" s="384"/>
      <c r="C454" s="384"/>
      <c r="D454" s="384"/>
      <c r="E454" s="384"/>
      <c r="F454" s="206" t="s">
        <v>1215</v>
      </c>
      <c r="G454" s="30"/>
      <c r="H454" s="30" t="s">
        <v>56</v>
      </c>
      <c r="I454" s="30">
        <v>0.3</v>
      </c>
      <c r="J454" s="30">
        <v>65500</v>
      </c>
      <c r="K454" s="28">
        <f t="shared" si="23"/>
        <v>19650</v>
      </c>
      <c r="L454" s="28" t="s">
        <v>29</v>
      </c>
      <c r="M454" s="384"/>
      <c r="N454" s="36"/>
    </row>
    <row r="455" spans="2:14" ht="15.75" x14ac:dyDescent="0.25">
      <c r="B455" s="384"/>
      <c r="C455" s="384"/>
      <c r="D455" s="384"/>
      <c r="E455" s="384"/>
      <c r="F455" s="206" t="s">
        <v>1216</v>
      </c>
      <c r="G455" s="30"/>
      <c r="H455" s="30" t="s">
        <v>56</v>
      </c>
      <c r="I455" s="30">
        <v>0.25</v>
      </c>
      <c r="J455" s="30">
        <v>51000</v>
      </c>
      <c r="K455" s="28">
        <f t="shared" si="23"/>
        <v>12750</v>
      </c>
      <c r="L455" s="28" t="s">
        <v>29</v>
      </c>
      <c r="M455" s="384"/>
      <c r="N455" s="36"/>
    </row>
    <row r="456" spans="2:14" ht="15.75" x14ac:dyDescent="0.25">
      <c r="B456" s="384"/>
      <c r="C456" s="384"/>
      <c r="D456" s="384"/>
      <c r="E456" s="384"/>
      <c r="F456" s="206" t="s">
        <v>1217</v>
      </c>
      <c r="G456" s="30"/>
      <c r="H456" s="30" t="s">
        <v>56</v>
      </c>
      <c r="I456" s="30">
        <v>0.3</v>
      </c>
      <c r="J456" s="30">
        <v>65500</v>
      </c>
      <c r="K456" s="28">
        <f t="shared" si="23"/>
        <v>19650</v>
      </c>
      <c r="L456" s="28" t="s">
        <v>29</v>
      </c>
      <c r="M456" s="384"/>
      <c r="N456" s="36"/>
    </row>
    <row r="457" spans="2:14" ht="15.75" x14ac:dyDescent="0.25">
      <c r="B457" s="384"/>
      <c r="C457" s="384"/>
      <c r="D457" s="384"/>
      <c r="E457" s="384"/>
      <c r="F457" s="206" t="s">
        <v>1218</v>
      </c>
      <c r="G457" s="30"/>
      <c r="H457" s="30" t="s">
        <v>56</v>
      </c>
      <c r="I457" s="30">
        <v>0.5</v>
      </c>
      <c r="J457" s="30">
        <v>67000</v>
      </c>
      <c r="K457" s="28">
        <f t="shared" si="23"/>
        <v>33500</v>
      </c>
      <c r="L457" s="28" t="s">
        <v>29</v>
      </c>
      <c r="M457" s="384"/>
      <c r="N457" s="36"/>
    </row>
    <row r="458" spans="2:14" ht="31.5" x14ac:dyDescent="0.25">
      <c r="B458" s="384"/>
      <c r="C458" s="384"/>
      <c r="D458" s="384"/>
      <c r="E458" s="384"/>
      <c r="F458" s="104" t="s">
        <v>1204</v>
      </c>
      <c r="G458" s="30"/>
      <c r="H458" s="30" t="s">
        <v>23</v>
      </c>
      <c r="I458" s="30">
        <v>10</v>
      </c>
      <c r="J458" s="30">
        <v>17524</v>
      </c>
      <c r="K458" s="28">
        <f t="shared" si="23"/>
        <v>175240</v>
      </c>
      <c r="L458" s="28" t="s">
        <v>29</v>
      </c>
      <c r="M458" s="384"/>
      <c r="N458" s="36"/>
    </row>
    <row r="459" spans="2:14" ht="31.5" x14ac:dyDescent="0.25">
      <c r="B459" s="384"/>
      <c r="C459" s="384"/>
      <c r="D459" s="384"/>
      <c r="E459" s="384"/>
      <c r="F459" s="104" t="s">
        <v>419</v>
      </c>
      <c r="G459" s="30"/>
      <c r="H459" s="30" t="s">
        <v>23</v>
      </c>
      <c r="I459" s="30">
        <v>12</v>
      </c>
      <c r="J459" s="30">
        <v>35381</v>
      </c>
      <c r="K459" s="30">
        <f t="shared" si="23"/>
        <v>424572</v>
      </c>
      <c r="L459" s="28" t="s">
        <v>29</v>
      </c>
      <c r="M459" s="384"/>
      <c r="N459" s="37"/>
    </row>
    <row r="460" spans="2:14" ht="31.5" x14ac:dyDescent="0.25">
      <c r="B460" s="384"/>
      <c r="C460" s="384"/>
      <c r="D460" s="384"/>
      <c r="E460" s="384"/>
      <c r="F460" s="104" t="s">
        <v>955</v>
      </c>
      <c r="G460" s="30"/>
      <c r="H460" s="30" t="s">
        <v>23</v>
      </c>
      <c r="I460" s="30">
        <v>1</v>
      </c>
      <c r="J460" s="30">
        <v>48827</v>
      </c>
      <c r="K460" s="30">
        <f t="shared" si="23"/>
        <v>48827</v>
      </c>
      <c r="L460" s="28" t="s">
        <v>29</v>
      </c>
      <c r="M460" s="384"/>
      <c r="N460" s="37"/>
    </row>
    <row r="461" spans="2:14" ht="31.5" x14ac:dyDescent="0.25">
      <c r="B461" s="384"/>
      <c r="C461" s="384"/>
      <c r="D461" s="384"/>
      <c r="E461" s="384"/>
      <c r="F461" s="104" t="s">
        <v>420</v>
      </c>
      <c r="G461" s="30"/>
      <c r="H461" s="30" t="s">
        <v>23</v>
      </c>
      <c r="I461" s="30">
        <v>10</v>
      </c>
      <c r="J461" s="30">
        <v>23800</v>
      </c>
      <c r="K461" s="30">
        <f t="shared" si="23"/>
        <v>238000</v>
      </c>
      <c r="L461" s="28" t="s">
        <v>29</v>
      </c>
      <c r="M461" s="384"/>
      <c r="N461" s="37"/>
    </row>
    <row r="462" spans="2:14" ht="18.75" customHeight="1" x14ac:dyDescent="0.25">
      <c r="B462" s="384"/>
      <c r="C462" s="384"/>
      <c r="D462" s="384"/>
      <c r="E462" s="384"/>
      <c r="F462" s="104" t="s">
        <v>376</v>
      </c>
      <c r="G462" s="30"/>
      <c r="H462" s="30" t="s">
        <v>23</v>
      </c>
      <c r="I462" s="30">
        <v>10</v>
      </c>
      <c r="J462" s="30">
        <f>3438</f>
        <v>3438</v>
      </c>
      <c r="K462" s="30">
        <f t="shared" si="23"/>
        <v>34380</v>
      </c>
      <c r="L462" s="28" t="s">
        <v>29</v>
      </c>
      <c r="M462" s="384"/>
      <c r="N462" s="37"/>
    </row>
    <row r="463" spans="2:14" ht="15.75" x14ac:dyDescent="0.25">
      <c r="B463" s="384"/>
      <c r="C463" s="384"/>
      <c r="D463" s="384"/>
      <c r="E463" s="384"/>
      <c r="F463" s="104" t="s">
        <v>377</v>
      </c>
      <c r="G463" s="30"/>
      <c r="H463" s="30" t="s">
        <v>23</v>
      </c>
      <c r="I463" s="30">
        <v>30</v>
      </c>
      <c r="J463" s="30">
        <v>1420</v>
      </c>
      <c r="K463" s="30">
        <f t="shared" si="23"/>
        <v>42600</v>
      </c>
      <c r="L463" s="28" t="s">
        <v>29</v>
      </c>
      <c r="M463" s="384"/>
      <c r="N463" s="37"/>
    </row>
    <row r="464" spans="2:14" ht="15.75" x14ac:dyDescent="0.25">
      <c r="B464" s="385"/>
      <c r="C464" s="385"/>
      <c r="D464" s="385"/>
      <c r="E464" s="385"/>
      <c r="F464" s="104" t="s">
        <v>378</v>
      </c>
      <c r="G464" s="30"/>
      <c r="H464" s="30" t="s">
        <v>23</v>
      </c>
      <c r="I464" s="30">
        <v>40</v>
      </c>
      <c r="J464" s="30">
        <v>1070</v>
      </c>
      <c r="K464" s="30">
        <f t="shared" si="23"/>
        <v>42800</v>
      </c>
      <c r="L464" s="28" t="s">
        <v>29</v>
      </c>
      <c r="M464" s="385"/>
      <c r="N464" s="37"/>
    </row>
    <row r="465" spans="2:14" ht="18.75" x14ac:dyDescent="0.3">
      <c r="B465" s="377" t="s">
        <v>18</v>
      </c>
      <c r="C465" s="378"/>
      <c r="D465" s="378"/>
      <c r="E465" s="378"/>
      <c r="F465" s="378"/>
      <c r="G465" s="379"/>
      <c r="H465" s="53"/>
      <c r="I465" s="53"/>
      <c r="J465" s="53"/>
      <c r="K465" s="55">
        <f>SUM(K400:K464)</f>
        <v>7141744</v>
      </c>
      <c r="L465" s="53"/>
      <c r="M465" s="55">
        <f>SUM(M400:M464)</f>
        <v>10553222</v>
      </c>
      <c r="N465" s="53"/>
    </row>
    <row r="466" spans="2:14" ht="18.75" x14ac:dyDescent="0.3">
      <c r="B466" s="377" t="s">
        <v>1274</v>
      </c>
      <c r="C466" s="378"/>
      <c r="D466" s="378"/>
      <c r="E466" s="378"/>
      <c r="F466" s="378"/>
      <c r="G466" s="379"/>
      <c r="H466" s="53"/>
      <c r="I466" s="53"/>
      <c r="J466" s="53"/>
      <c r="K466" s="55"/>
      <c r="L466" s="53"/>
      <c r="M466" s="55">
        <v>1290000</v>
      </c>
      <c r="N466" s="53"/>
    </row>
    <row r="467" spans="2:14" ht="18.75" x14ac:dyDescent="0.3">
      <c r="B467" s="458" t="s">
        <v>1268</v>
      </c>
      <c r="C467" s="458"/>
      <c r="D467" s="458"/>
      <c r="E467" s="458"/>
      <c r="F467" s="458"/>
      <c r="G467" s="458"/>
      <c r="H467" s="53"/>
      <c r="I467" s="53"/>
      <c r="J467" s="53"/>
      <c r="K467" s="54">
        <f>K465+K398+K333+K321+K278+K257+K251</f>
        <v>24115558</v>
      </c>
      <c r="L467" s="54"/>
      <c r="M467" s="54">
        <f>M465+M398+M333+M321+M278+M257+M251+M466</f>
        <v>37188727</v>
      </c>
      <c r="N467" s="4"/>
    </row>
    <row r="468" spans="2:14" ht="20.25" x14ac:dyDescent="0.3">
      <c r="B468" s="459" t="s">
        <v>379</v>
      </c>
      <c r="C468" s="459"/>
      <c r="D468" s="459"/>
      <c r="E468" s="459"/>
      <c r="F468" s="459"/>
      <c r="G468" s="459"/>
      <c r="H468" s="459"/>
      <c r="I468" s="459"/>
      <c r="J468" s="459"/>
      <c r="K468" s="459"/>
      <c r="L468" s="459"/>
      <c r="M468" s="459"/>
      <c r="N468" s="459"/>
    </row>
    <row r="469" spans="2:14" ht="18.75" x14ac:dyDescent="0.3">
      <c r="B469" s="460" t="s">
        <v>14</v>
      </c>
      <c r="C469" s="460"/>
      <c r="D469" s="460"/>
      <c r="E469" s="460"/>
      <c r="F469" s="460"/>
      <c r="G469" s="460"/>
      <c r="H469" s="460"/>
      <c r="I469" s="460"/>
      <c r="J469" s="460"/>
      <c r="K469" s="460"/>
      <c r="L469" s="460"/>
      <c r="M469" s="460"/>
      <c r="N469" s="460"/>
    </row>
    <row r="470" spans="2:14" ht="104.25" customHeight="1" x14ac:dyDescent="0.25">
      <c r="B470" s="2">
        <v>1</v>
      </c>
      <c r="C470" s="2" t="s">
        <v>38</v>
      </c>
      <c r="D470" s="2" t="s">
        <v>380</v>
      </c>
      <c r="E470" s="32" t="s">
        <v>381</v>
      </c>
      <c r="F470" s="185" t="s">
        <v>382</v>
      </c>
      <c r="G470" s="32"/>
      <c r="H470" s="32" t="s">
        <v>383</v>
      </c>
      <c r="I470" s="32">
        <v>1</v>
      </c>
      <c r="J470" s="32">
        <v>310380</v>
      </c>
      <c r="K470" s="32">
        <f>J470*I470</f>
        <v>310380</v>
      </c>
      <c r="L470" s="32" t="s">
        <v>184</v>
      </c>
      <c r="M470" s="123">
        <f>K470</f>
        <v>310380</v>
      </c>
      <c r="N470" s="2"/>
    </row>
    <row r="471" spans="2:14" ht="93.75" customHeight="1" x14ac:dyDescent="0.25">
      <c r="B471" s="2">
        <v>2</v>
      </c>
      <c r="C471" s="2" t="s">
        <v>38</v>
      </c>
      <c r="D471" s="2" t="s">
        <v>384</v>
      </c>
      <c r="E471" s="32" t="s">
        <v>385</v>
      </c>
      <c r="F471" s="185" t="s">
        <v>386</v>
      </c>
      <c r="G471" s="32"/>
      <c r="H471" s="32" t="s">
        <v>383</v>
      </c>
      <c r="I471" s="32">
        <v>1</v>
      </c>
      <c r="J471" s="32">
        <v>137410</v>
      </c>
      <c r="K471" s="32">
        <f>J471*I471</f>
        <v>137410</v>
      </c>
      <c r="L471" s="32" t="s">
        <v>184</v>
      </c>
      <c r="M471" s="123">
        <f>K471</f>
        <v>137410</v>
      </c>
      <c r="N471" s="2"/>
    </row>
    <row r="472" spans="2:14" ht="62.25" customHeight="1" x14ac:dyDescent="0.25">
      <c r="B472" s="32">
        <v>3</v>
      </c>
      <c r="C472" s="2" t="s">
        <v>38</v>
      </c>
      <c r="D472" s="32" t="s">
        <v>387</v>
      </c>
      <c r="E472" s="32" t="s">
        <v>1028</v>
      </c>
      <c r="F472" s="185" t="s">
        <v>1027</v>
      </c>
      <c r="G472" s="32"/>
      <c r="H472" s="32" t="s">
        <v>383</v>
      </c>
      <c r="I472" s="32">
        <v>1</v>
      </c>
      <c r="J472" s="32">
        <v>231769</v>
      </c>
      <c r="K472" s="32">
        <f>J472*I472</f>
        <v>231769</v>
      </c>
      <c r="L472" s="32" t="s">
        <v>184</v>
      </c>
      <c r="M472" s="123">
        <f>K472</f>
        <v>231769</v>
      </c>
      <c r="N472" s="32"/>
    </row>
    <row r="473" spans="2:14" ht="18.75" x14ac:dyDescent="0.25">
      <c r="B473" s="461" t="s">
        <v>17</v>
      </c>
      <c r="C473" s="462"/>
      <c r="D473" s="462"/>
      <c r="E473" s="462"/>
      <c r="F473" s="462"/>
      <c r="G473" s="463"/>
      <c r="H473" s="57"/>
      <c r="I473" s="57"/>
      <c r="J473" s="57"/>
      <c r="K473" s="246">
        <f>SUM(K470:K472)</f>
        <v>679559</v>
      </c>
      <c r="L473" s="59"/>
      <c r="M473" s="246">
        <f>SUM(M470:M472)</f>
        <v>679559</v>
      </c>
      <c r="N473" s="57"/>
    </row>
    <row r="474" spans="2:14" ht="18.75" x14ac:dyDescent="0.3">
      <c r="B474" s="407" t="s">
        <v>16</v>
      </c>
      <c r="C474" s="407"/>
      <c r="D474" s="407"/>
      <c r="E474" s="407"/>
      <c r="F474" s="407"/>
      <c r="G474" s="407"/>
      <c r="H474" s="407"/>
      <c r="I474" s="407"/>
      <c r="J474" s="407"/>
      <c r="K474" s="407"/>
      <c r="L474" s="407"/>
      <c r="M474" s="407"/>
      <c r="N474" s="407"/>
    </row>
    <row r="475" spans="2:14" ht="78.75" x14ac:dyDescent="0.25">
      <c r="B475" s="10">
        <v>4</v>
      </c>
      <c r="C475" s="10" t="s">
        <v>24</v>
      </c>
      <c r="D475" s="27" t="s">
        <v>388</v>
      </c>
      <c r="E475" s="25" t="s">
        <v>389</v>
      </c>
      <c r="F475" s="24" t="s">
        <v>37</v>
      </c>
      <c r="G475" s="27" t="s">
        <v>390</v>
      </c>
      <c r="H475" s="6"/>
      <c r="I475" s="6"/>
      <c r="J475" s="6"/>
      <c r="K475" s="5"/>
      <c r="L475" s="10" t="s">
        <v>26</v>
      </c>
      <c r="M475" s="48">
        <v>4153462</v>
      </c>
      <c r="N475" s="5"/>
    </row>
    <row r="476" spans="2:14" ht="78.75" x14ac:dyDescent="0.25">
      <c r="B476" s="10">
        <v>5</v>
      </c>
      <c r="C476" s="10" t="s">
        <v>24</v>
      </c>
      <c r="D476" s="27" t="s">
        <v>1039</v>
      </c>
      <c r="E476" s="25" t="s">
        <v>391</v>
      </c>
      <c r="F476" s="24" t="s">
        <v>37</v>
      </c>
      <c r="G476" s="27" t="s">
        <v>392</v>
      </c>
      <c r="H476" s="6"/>
      <c r="I476" s="6"/>
      <c r="J476" s="6"/>
      <c r="K476" s="5"/>
      <c r="L476" s="10" t="s">
        <v>418</v>
      </c>
      <c r="M476" s="48">
        <v>1943577</v>
      </c>
      <c r="N476" s="5"/>
    </row>
    <row r="477" spans="2:14" ht="18.75" x14ac:dyDescent="0.3">
      <c r="B477" s="464" t="s">
        <v>17</v>
      </c>
      <c r="C477" s="465"/>
      <c r="D477" s="465"/>
      <c r="E477" s="465"/>
      <c r="F477" s="465"/>
      <c r="G477" s="466"/>
      <c r="H477" s="60"/>
      <c r="I477" s="60"/>
      <c r="J477" s="60"/>
      <c r="K477" s="60"/>
      <c r="L477" s="60"/>
      <c r="M477" s="176">
        <f>M475+M476</f>
        <v>6097039</v>
      </c>
      <c r="N477" s="60"/>
    </row>
    <row r="478" spans="2:14" ht="15.75" x14ac:dyDescent="0.25">
      <c r="B478" s="426" t="s">
        <v>15</v>
      </c>
      <c r="C478" s="426"/>
      <c r="D478" s="426"/>
      <c r="E478" s="426"/>
      <c r="F478" s="426"/>
      <c r="G478" s="426"/>
      <c r="H478" s="426"/>
      <c r="I478" s="426"/>
      <c r="J478" s="426"/>
      <c r="K478" s="426"/>
      <c r="L478" s="426"/>
      <c r="M478" s="426"/>
      <c r="N478" s="426"/>
    </row>
    <row r="479" spans="2:14" ht="31.5" x14ac:dyDescent="0.25">
      <c r="B479" s="352">
        <v>6</v>
      </c>
      <c r="C479" s="352" t="s">
        <v>38</v>
      </c>
      <c r="D479" s="352"/>
      <c r="E479" s="355" t="s">
        <v>308</v>
      </c>
      <c r="F479" s="188" t="s">
        <v>393</v>
      </c>
      <c r="G479" s="32" t="s">
        <v>310</v>
      </c>
      <c r="H479" s="138" t="s">
        <v>23</v>
      </c>
      <c r="I479" s="139">
        <v>1</v>
      </c>
      <c r="J479" s="32">
        <v>66443</v>
      </c>
      <c r="K479" s="32">
        <f>I479*J479</f>
        <v>66443</v>
      </c>
      <c r="L479" s="352" t="s">
        <v>29</v>
      </c>
      <c r="M479" s="352">
        <f>K479+K480+K481+K482+K483</f>
        <v>171652</v>
      </c>
      <c r="N479" s="2"/>
    </row>
    <row r="480" spans="2:14" ht="31.5" x14ac:dyDescent="0.25">
      <c r="B480" s="353"/>
      <c r="C480" s="353"/>
      <c r="D480" s="353"/>
      <c r="E480" s="364"/>
      <c r="F480" s="188" t="s">
        <v>394</v>
      </c>
      <c r="G480" s="32" t="s">
        <v>310</v>
      </c>
      <c r="H480" s="138" t="s">
        <v>23</v>
      </c>
      <c r="I480" s="139">
        <v>1</v>
      </c>
      <c r="J480" s="32">
        <v>35640</v>
      </c>
      <c r="K480" s="32">
        <f>I480*J480</f>
        <v>35640</v>
      </c>
      <c r="L480" s="353"/>
      <c r="M480" s="353"/>
      <c r="N480" s="2"/>
    </row>
    <row r="481" spans="2:14" ht="31.5" x14ac:dyDescent="0.25">
      <c r="B481" s="353"/>
      <c r="C481" s="353"/>
      <c r="D481" s="353"/>
      <c r="E481" s="364"/>
      <c r="F481" s="188" t="s">
        <v>395</v>
      </c>
      <c r="G481" s="32" t="s">
        <v>310</v>
      </c>
      <c r="H481" s="138" t="s">
        <v>23</v>
      </c>
      <c r="I481" s="139">
        <v>1</v>
      </c>
      <c r="J481" s="32">
        <v>31369</v>
      </c>
      <c r="K481" s="32">
        <f>I481*J481</f>
        <v>31369</v>
      </c>
      <c r="L481" s="353"/>
      <c r="M481" s="353"/>
      <c r="N481" s="2"/>
    </row>
    <row r="482" spans="2:14" ht="31.5" x14ac:dyDescent="0.25">
      <c r="B482" s="353"/>
      <c r="C482" s="353"/>
      <c r="D482" s="353"/>
      <c r="E482" s="364"/>
      <c r="F482" s="188" t="s">
        <v>396</v>
      </c>
      <c r="G482" s="32" t="s">
        <v>310</v>
      </c>
      <c r="H482" s="138" t="s">
        <v>23</v>
      </c>
      <c r="I482" s="139">
        <v>1</v>
      </c>
      <c r="J482" s="32">
        <v>18200</v>
      </c>
      <c r="K482" s="32">
        <f>I482*J482</f>
        <v>18200</v>
      </c>
      <c r="L482" s="353"/>
      <c r="M482" s="353"/>
      <c r="N482" s="2"/>
    </row>
    <row r="483" spans="2:14" ht="31.5" x14ac:dyDescent="0.25">
      <c r="B483" s="354"/>
      <c r="C483" s="354"/>
      <c r="D483" s="354"/>
      <c r="E483" s="365"/>
      <c r="F483" s="188" t="s">
        <v>397</v>
      </c>
      <c r="G483" s="32" t="s">
        <v>310</v>
      </c>
      <c r="H483" s="138" t="s">
        <v>23</v>
      </c>
      <c r="I483" s="32">
        <v>2</v>
      </c>
      <c r="J483" s="32">
        <v>10000</v>
      </c>
      <c r="K483" s="32">
        <f>I483*J483</f>
        <v>20000</v>
      </c>
      <c r="L483" s="354"/>
      <c r="M483" s="354"/>
      <c r="N483" s="2"/>
    </row>
    <row r="484" spans="2:14" ht="33" customHeight="1" x14ac:dyDescent="0.25">
      <c r="B484" s="352">
        <v>7</v>
      </c>
      <c r="C484" s="352" t="s">
        <v>38</v>
      </c>
      <c r="D484" s="2"/>
      <c r="E484" s="355" t="s">
        <v>1270</v>
      </c>
      <c r="F484" s="221" t="s">
        <v>1194</v>
      </c>
      <c r="G484" s="32" t="s">
        <v>310</v>
      </c>
      <c r="H484" s="138" t="s">
        <v>23</v>
      </c>
      <c r="I484" s="139">
        <v>5</v>
      </c>
      <c r="J484" s="32">
        <v>5000</v>
      </c>
      <c r="K484" s="32">
        <f t="shared" ref="K484:K491" si="24">J484*I484</f>
        <v>25000</v>
      </c>
      <c r="L484" s="352" t="s">
        <v>184</v>
      </c>
      <c r="M484" s="352">
        <f>SUM(K484:K491)</f>
        <v>75774</v>
      </c>
      <c r="N484" s="2"/>
    </row>
    <row r="485" spans="2:14" ht="33" customHeight="1" x14ac:dyDescent="0.25">
      <c r="B485" s="353"/>
      <c r="C485" s="353"/>
      <c r="D485" s="2"/>
      <c r="E485" s="364"/>
      <c r="F485" s="221" t="s">
        <v>1193</v>
      </c>
      <c r="G485" s="32" t="s">
        <v>310</v>
      </c>
      <c r="H485" s="138" t="s">
        <v>23</v>
      </c>
      <c r="I485" s="139">
        <v>5</v>
      </c>
      <c r="J485" s="32">
        <v>2250</v>
      </c>
      <c r="K485" s="32">
        <f t="shared" si="24"/>
        <v>11250</v>
      </c>
      <c r="L485" s="353"/>
      <c r="M485" s="353"/>
      <c r="N485" s="2"/>
    </row>
    <row r="486" spans="2:14" ht="33" customHeight="1" x14ac:dyDescent="0.25">
      <c r="B486" s="353"/>
      <c r="C486" s="353"/>
      <c r="D486" s="2"/>
      <c r="E486" s="364"/>
      <c r="F486" s="221" t="s">
        <v>1195</v>
      </c>
      <c r="G486" s="32" t="s">
        <v>310</v>
      </c>
      <c r="H486" s="138" t="s">
        <v>23</v>
      </c>
      <c r="I486" s="139">
        <v>5</v>
      </c>
      <c r="J486" s="32">
        <v>2000</v>
      </c>
      <c r="K486" s="32">
        <f t="shared" si="24"/>
        <v>10000</v>
      </c>
      <c r="L486" s="353"/>
      <c r="M486" s="353"/>
      <c r="N486" s="2"/>
    </row>
    <row r="487" spans="2:14" ht="33" customHeight="1" x14ac:dyDescent="0.25">
      <c r="B487" s="353"/>
      <c r="C487" s="353"/>
      <c r="D487" s="2"/>
      <c r="E487" s="364"/>
      <c r="F487" s="221" t="s">
        <v>1196</v>
      </c>
      <c r="G487" s="32" t="s">
        <v>310</v>
      </c>
      <c r="H487" s="138" t="s">
        <v>23</v>
      </c>
      <c r="I487" s="139">
        <v>5</v>
      </c>
      <c r="J487" s="32">
        <v>1600</v>
      </c>
      <c r="K487" s="32">
        <f t="shared" si="24"/>
        <v>8000</v>
      </c>
      <c r="L487" s="353"/>
      <c r="M487" s="353"/>
      <c r="N487" s="2"/>
    </row>
    <row r="488" spans="2:14" ht="33" customHeight="1" x14ac:dyDescent="0.25">
      <c r="B488" s="353"/>
      <c r="C488" s="353"/>
      <c r="D488" s="2"/>
      <c r="E488" s="364"/>
      <c r="F488" s="221" t="s">
        <v>1197</v>
      </c>
      <c r="G488" s="138" t="s">
        <v>310</v>
      </c>
      <c r="H488" s="138" t="s">
        <v>23</v>
      </c>
      <c r="I488" s="138">
        <v>1</v>
      </c>
      <c r="J488" s="32">
        <v>3900</v>
      </c>
      <c r="K488" s="32">
        <f t="shared" si="24"/>
        <v>3900</v>
      </c>
      <c r="L488" s="353"/>
      <c r="M488" s="353"/>
      <c r="N488" s="2"/>
    </row>
    <row r="489" spans="2:14" ht="33" customHeight="1" x14ac:dyDescent="0.25">
      <c r="B489" s="353"/>
      <c r="C489" s="353"/>
      <c r="D489" s="2"/>
      <c r="E489" s="364"/>
      <c r="F489" s="221" t="s">
        <v>1198</v>
      </c>
      <c r="G489" s="138" t="s">
        <v>310</v>
      </c>
      <c r="H489" s="138" t="s">
        <v>23</v>
      </c>
      <c r="I489" s="138">
        <v>1</v>
      </c>
      <c r="J489" s="32">
        <v>2800</v>
      </c>
      <c r="K489" s="32">
        <f t="shared" si="24"/>
        <v>2800</v>
      </c>
      <c r="L489" s="353"/>
      <c r="M489" s="353"/>
      <c r="N489" s="2"/>
    </row>
    <row r="490" spans="2:14" ht="33" customHeight="1" x14ac:dyDescent="0.25">
      <c r="B490" s="353"/>
      <c r="C490" s="353"/>
      <c r="D490" s="2"/>
      <c r="E490" s="364"/>
      <c r="F490" s="221" t="s">
        <v>1199</v>
      </c>
      <c r="G490" s="138" t="s">
        <v>310</v>
      </c>
      <c r="H490" s="138" t="s">
        <v>23</v>
      </c>
      <c r="I490" s="138">
        <v>1</v>
      </c>
      <c r="J490" s="32">
        <v>2550</v>
      </c>
      <c r="K490" s="32">
        <f t="shared" si="24"/>
        <v>2550</v>
      </c>
      <c r="L490" s="353"/>
      <c r="M490" s="353"/>
      <c r="N490" s="2"/>
    </row>
    <row r="491" spans="2:14" ht="33" customHeight="1" x14ac:dyDescent="0.25">
      <c r="B491" s="354"/>
      <c r="C491" s="354"/>
      <c r="D491" s="2"/>
      <c r="E491" s="365"/>
      <c r="F491" s="221" t="s">
        <v>1271</v>
      </c>
      <c r="G491" s="138" t="s">
        <v>310</v>
      </c>
      <c r="H491" s="138" t="s">
        <v>23</v>
      </c>
      <c r="I491" s="138">
        <v>1</v>
      </c>
      <c r="J491" s="138">
        <v>12274</v>
      </c>
      <c r="K491" s="32">
        <f t="shared" si="24"/>
        <v>12274</v>
      </c>
      <c r="L491" s="354"/>
      <c r="M491" s="354"/>
      <c r="N491" s="2"/>
    </row>
    <row r="492" spans="2:14" ht="18.75" x14ac:dyDescent="0.3">
      <c r="B492" s="380" t="s">
        <v>17</v>
      </c>
      <c r="C492" s="381"/>
      <c r="D492" s="381"/>
      <c r="E492" s="381"/>
      <c r="F492" s="432"/>
      <c r="G492" s="433"/>
      <c r="H492" s="57"/>
      <c r="I492" s="57"/>
      <c r="J492" s="60"/>
      <c r="K492" s="247">
        <f>SUM(K479:K491)</f>
        <v>247426</v>
      </c>
      <c r="L492" s="60"/>
      <c r="M492" s="73">
        <f>SUM(M479:M491)</f>
        <v>247426</v>
      </c>
      <c r="N492" s="60"/>
    </row>
    <row r="493" spans="2:14" ht="15.75" x14ac:dyDescent="0.25">
      <c r="B493" s="426" t="s">
        <v>20</v>
      </c>
      <c r="C493" s="426"/>
      <c r="D493" s="426"/>
      <c r="E493" s="426"/>
      <c r="F493" s="426"/>
      <c r="G493" s="426"/>
      <c r="H493" s="426"/>
      <c r="I493" s="426"/>
      <c r="J493" s="426"/>
      <c r="K493" s="426"/>
      <c r="L493" s="426"/>
      <c r="M493" s="426"/>
      <c r="N493" s="426"/>
    </row>
    <row r="494" spans="2:14" ht="15.75" x14ac:dyDescent="0.25">
      <c r="B494" s="8"/>
      <c r="C494" s="8"/>
      <c r="D494" s="8"/>
      <c r="E494" s="8"/>
      <c r="F494" s="12"/>
      <c r="G494" s="8"/>
      <c r="H494" s="8"/>
      <c r="I494" s="8"/>
      <c r="J494" s="8"/>
      <c r="K494" s="8"/>
      <c r="L494" s="8"/>
      <c r="M494" s="8"/>
      <c r="N494" s="8"/>
    </row>
    <row r="495" spans="2:14" ht="15.75" x14ac:dyDescent="0.25">
      <c r="B495" s="8"/>
      <c r="C495" s="8"/>
      <c r="D495" s="8"/>
      <c r="E495" s="8"/>
      <c r="F495" s="12"/>
      <c r="G495" s="8"/>
      <c r="H495" s="8"/>
      <c r="I495" s="8"/>
      <c r="J495" s="8"/>
      <c r="K495" s="8"/>
      <c r="L495" s="8"/>
      <c r="M495" s="8"/>
      <c r="N495" s="8"/>
    </row>
    <row r="496" spans="2:14" ht="15.75" x14ac:dyDescent="0.25">
      <c r="B496" s="8"/>
      <c r="C496" s="8"/>
      <c r="D496" s="8"/>
      <c r="E496" s="8"/>
      <c r="F496" s="12"/>
      <c r="G496" s="8"/>
      <c r="H496" s="8"/>
      <c r="I496" s="8"/>
      <c r="J496" s="8"/>
      <c r="K496" s="8"/>
      <c r="L496" s="8"/>
      <c r="M496" s="8"/>
      <c r="N496" s="8"/>
    </row>
    <row r="497" spans="2:14" ht="15.75" x14ac:dyDescent="0.25">
      <c r="B497" s="8"/>
      <c r="C497" s="8"/>
      <c r="D497" s="8"/>
      <c r="E497" s="8"/>
      <c r="F497" s="12"/>
      <c r="G497" s="8"/>
      <c r="H497" s="8"/>
      <c r="I497" s="8"/>
      <c r="J497" s="8"/>
      <c r="K497" s="8"/>
      <c r="L497" s="8"/>
      <c r="M497" s="8"/>
      <c r="N497" s="8"/>
    </row>
    <row r="498" spans="2:14" ht="15.75" x14ac:dyDescent="0.25">
      <c r="B498" s="8"/>
      <c r="C498" s="8"/>
      <c r="D498" s="8"/>
      <c r="E498" s="8"/>
      <c r="F498" s="12"/>
      <c r="G498" s="8"/>
      <c r="H498" s="8"/>
      <c r="I498" s="8"/>
      <c r="J498" s="8"/>
      <c r="K498" s="8"/>
      <c r="L498" s="8"/>
      <c r="M498" s="8"/>
      <c r="N498" s="8"/>
    </row>
    <row r="499" spans="2:14" ht="18.75" x14ac:dyDescent="0.3">
      <c r="B499" s="380" t="s">
        <v>17</v>
      </c>
      <c r="C499" s="381"/>
      <c r="D499" s="381"/>
      <c r="E499" s="381"/>
      <c r="F499" s="381"/>
      <c r="G499" s="382"/>
      <c r="H499" s="60"/>
      <c r="I499" s="60"/>
      <c r="J499" s="60"/>
      <c r="K499" s="61">
        <v>0</v>
      </c>
      <c r="L499" s="61"/>
      <c r="M499" s="61">
        <f>SUM(M494:M498)</f>
        <v>0</v>
      </c>
      <c r="N499" s="60"/>
    </row>
    <row r="500" spans="2:14" ht="15.75" x14ac:dyDescent="0.25">
      <c r="B500" s="426" t="s">
        <v>21</v>
      </c>
      <c r="C500" s="426"/>
      <c r="D500" s="426"/>
      <c r="E500" s="426"/>
      <c r="F500" s="426"/>
      <c r="G500" s="426"/>
      <c r="H500" s="426"/>
      <c r="I500" s="426"/>
      <c r="J500" s="426"/>
      <c r="K500" s="426"/>
      <c r="L500" s="426"/>
      <c r="M500" s="426"/>
      <c r="N500" s="426"/>
    </row>
    <row r="501" spans="2:14" ht="31.5" x14ac:dyDescent="0.25">
      <c r="B501" s="2">
        <v>8</v>
      </c>
      <c r="C501" s="2" t="s">
        <v>38</v>
      </c>
      <c r="D501" s="2" t="s">
        <v>956</v>
      </c>
      <c r="E501" s="32"/>
      <c r="F501" s="185" t="s">
        <v>958</v>
      </c>
      <c r="G501" s="32" t="s">
        <v>957</v>
      </c>
      <c r="H501" s="32" t="s">
        <v>23</v>
      </c>
      <c r="I501" s="32">
        <v>1</v>
      </c>
      <c r="J501" s="32">
        <v>43320</v>
      </c>
      <c r="K501" s="2">
        <f>J501*I501</f>
        <v>43320</v>
      </c>
      <c r="L501" s="2" t="s">
        <v>184</v>
      </c>
      <c r="M501" s="124">
        <f>K501</f>
        <v>43320</v>
      </c>
      <c r="N501" s="2"/>
    </row>
    <row r="502" spans="2:14" ht="47.25" x14ac:dyDescent="0.25">
      <c r="B502" s="32">
        <v>9</v>
      </c>
      <c r="C502" s="32" t="s">
        <v>38</v>
      </c>
      <c r="D502" s="32" t="s">
        <v>342</v>
      </c>
      <c r="E502" s="32" t="s">
        <v>398</v>
      </c>
      <c r="F502" s="23" t="s">
        <v>399</v>
      </c>
      <c r="G502" s="32"/>
      <c r="H502" s="32"/>
      <c r="I502" s="32"/>
      <c r="J502" s="32"/>
      <c r="K502" s="32"/>
      <c r="L502" s="32"/>
      <c r="M502" s="123">
        <v>579606</v>
      </c>
      <c r="N502" s="2" t="s">
        <v>405</v>
      </c>
    </row>
    <row r="503" spans="2:14" ht="31.5" x14ac:dyDescent="0.25">
      <c r="B503" s="352">
        <v>10</v>
      </c>
      <c r="C503" s="352" t="s">
        <v>38</v>
      </c>
      <c r="D503" s="352" t="s">
        <v>927</v>
      </c>
      <c r="E503" s="200" t="s">
        <v>924</v>
      </c>
      <c r="F503" s="23"/>
      <c r="G503" s="32"/>
      <c r="H503" s="32" t="s">
        <v>23</v>
      </c>
      <c r="I503" s="32">
        <v>2</v>
      </c>
      <c r="J503" s="32">
        <v>58500</v>
      </c>
      <c r="K503" s="2">
        <f t="shared" ref="K503:K509" si="25">J503*I503</f>
        <v>117000</v>
      </c>
      <c r="L503" s="2" t="s">
        <v>184</v>
      </c>
      <c r="M503" s="2">
        <f t="shared" ref="M503:M509" si="26">K503</f>
        <v>117000</v>
      </c>
      <c r="N503" s="2"/>
    </row>
    <row r="504" spans="2:14" ht="15.75" x14ac:dyDescent="0.25">
      <c r="B504" s="353"/>
      <c r="C504" s="353"/>
      <c r="D504" s="353"/>
      <c r="E504" s="211" t="s">
        <v>925</v>
      </c>
      <c r="F504" s="23"/>
      <c r="G504" s="32"/>
      <c r="H504" s="32" t="s">
        <v>56</v>
      </c>
      <c r="I504" s="32">
        <v>0.6</v>
      </c>
      <c r="J504" s="32">
        <v>60000</v>
      </c>
      <c r="K504" s="2">
        <f t="shared" si="25"/>
        <v>36000</v>
      </c>
      <c r="L504" s="2" t="s">
        <v>184</v>
      </c>
      <c r="M504" s="2">
        <f t="shared" si="26"/>
        <v>36000</v>
      </c>
      <c r="N504" s="2"/>
    </row>
    <row r="505" spans="2:14" ht="15.75" x14ac:dyDescent="0.25">
      <c r="B505" s="353"/>
      <c r="C505" s="353"/>
      <c r="D505" s="353"/>
      <c r="E505" s="32" t="s">
        <v>336</v>
      </c>
      <c r="F505" s="23"/>
      <c r="G505" s="32"/>
      <c r="H505" s="32" t="s">
        <v>23</v>
      </c>
      <c r="I505" s="32">
        <v>60</v>
      </c>
      <c r="J505" s="32">
        <v>450</v>
      </c>
      <c r="K505" s="2">
        <f t="shared" si="25"/>
        <v>27000</v>
      </c>
      <c r="L505" s="2" t="s">
        <v>184</v>
      </c>
      <c r="M505" s="2">
        <f t="shared" si="26"/>
        <v>27000</v>
      </c>
      <c r="N505" s="2"/>
    </row>
    <row r="506" spans="2:14" ht="15.75" x14ac:dyDescent="0.25">
      <c r="B506" s="353"/>
      <c r="C506" s="353"/>
      <c r="D506" s="353"/>
      <c r="E506" s="32" t="s">
        <v>44</v>
      </c>
      <c r="F506" s="23"/>
      <c r="G506" s="32"/>
      <c r="H506" s="32" t="s">
        <v>46</v>
      </c>
      <c r="I506" s="32">
        <v>40</v>
      </c>
      <c r="J506" s="32">
        <v>89</v>
      </c>
      <c r="K506" s="2">
        <f t="shared" si="25"/>
        <v>3560</v>
      </c>
      <c r="L506" s="2" t="s">
        <v>184</v>
      </c>
      <c r="M506" s="2">
        <f t="shared" si="26"/>
        <v>3560</v>
      </c>
      <c r="N506" s="2"/>
    </row>
    <row r="507" spans="2:14" ht="63" x14ac:dyDescent="0.25">
      <c r="B507" s="353"/>
      <c r="C507" s="353"/>
      <c r="D507" s="353"/>
      <c r="E507" s="211" t="s">
        <v>926</v>
      </c>
      <c r="F507" s="23"/>
      <c r="G507" s="32"/>
      <c r="H507" s="32" t="s">
        <v>56</v>
      </c>
      <c r="I507" s="32">
        <v>2.4</v>
      </c>
      <c r="J507" s="32">
        <v>62000</v>
      </c>
      <c r="K507" s="2">
        <f t="shared" si="25"/>
        <v>148800</v>
      </c>
      <c r="L507" s="2" t="s">
        <v>184</v>
      </c>
      <c r="M507" s="2">
        <f t="shared" si="26"/>
        <v>148800</v>
      </c>
      <c r="N507" s="2"/>
    </row>
    <row r="508" spans="2:14" ht="31.5" x14ac:dyDescent="0.25">
      <c r="B508" s="353"/>
      <c r="C508" s="353"/>
      <c r="D508" s="353"/>
      <c r="E508" s="211" t="s">
        <v>929</v>
      </c>
      <c r="F508" s="23"/>
      <c r="G508" s="32"/>
      <c r="H508" s="32" t="s">
        <v>56</v>
      </c>
      <c r="I508" s="32">
        <v>2.7</v>
      </c>
      <c r="J508" s="32">
        <v>67000</v>
      </c>
      <c r="K508" s="2">
        <f t="shared" si="25"/>
        <v>180900</v>
      </c>
      <c r="L508" s="2" t="s">
        <v>184</v>
      </c>
      <c r="M508" s="2">
        <f t="shared" si="26"/>
        <v>180900</v>
      </c>
      <c r="N508" s="2"/>
    </row>
    <row r="509" spans="2:14" ht="31.5" x14ac:dyDescent="0.25">
      <c r="B509" s="354"/>
      <c r="C509" s="354"/>
      <c r="D509" s="354"/>
      <c r="E509" s="32" t="s">
        <v>928</v>
      </c>
      <c r="F509" s="23"/>
      <c r="G509" s="32"/>
      <c r="H509" s="32" t="s">
        <v>901</v>
      </c>
      <c r="I509" s="32">
        <v>4</v>
      </c>
      <c r="J509" s="32">
        <v>1170</v>
      </c>
      <c r="K509" s="2">
        <f t="shared" si="25"/>
        <v>4680</v>
      </c>
      <c r="L509" s="2" t="s">
        <v>184</v>
      </c>
      <c r="M509" s="2">
        <f t="shared" si="26"/>
        <v>4680</v>
      </c>
      <c r="N509" s="2"/>
    </row>
    <row r="510" spans="2:14" ht="18.75" x14ac:dyDescent="0.3">
      <c r="B510" s="380" t="s">
        <v>18</v>
      </c>
      <c r="C510" s="381"/>
      <c r="D510" s="381"/>
      <c r="E510" s="381"/>
      <c r="F510" s="381"/>
      <c r="G510" s="382"/>
      <c r="H510" s="61"/>
      <c r="I510" s="61"/>
      <c r="J510" s="61"/>
      <c r="K510" s="73">
        <f>SUM(K501:K509)</f>
        <v>561260</v>
      </c>
      <c r="L510" s="61"/>
      <c r="M510" s="73">
        <f>SUM(M501:M509)</f>
        <v>1140866</v>
      </c>
      <c r="N510" s="61"/>
    </row>
    <row r="511" spans="2:14" ht="18.75" x14ac:dyDescent="0.3">
      <c r="B511" s="380" t="s">
        <v>1275</v>
      </c>
      <c r="C511" s="381"/>
      <c r="D511" s="381"/>
      <c r="E511" s="381"/>
      <c r="F511" s="381"/>
      <c r="G511" s="382"/>
      <c r="H511" s="61"/>
      <c r="I511" s="61"/>
      <c r="J511" s="61"/>
      <c r="K511" s="73"/>
      <c r="L511" s="61"/>
      <c r="M511" s="73">
        <v>265000</v>
      </c>
      <c r="N511" s="61"/>
    </row>
    <row r="512" spans="2:14" ht="18.75" x14ac:dyDescent="0.3">
      <c r="B512" s="431" t="s">
        <v>971</v>
      </c>
      <c r="C512" s="431"/>
      <c r="D512" s="431"/>
      <c r="E512" s="431"/>
      <c r="F512" s="431"/>
      <c r="G512" s="431"/>
      <c r="H512" s="61"/>
      <c r="I512" s="61"/>
      <c r="J512" s="61"/>
      <c r="K512" s="176">
        <f>K510+K499+K492+K477+K473</f>
        <v>1488245</v>
      </c>
      <c r="L512" s="61"/>
      <c r="M512" s="73">
        <f>M510+M499+M492+M477+M473+M511</f>
        <v>8429890</v>
      </c>
      <c r="N512" s="61"/>
    </row>
    <row r="513" spans="2:17" ht="18.75" x14ac:dyDescent="0.3">
      <c r="B513" s="430" t="s">
        <v>422</v>
      </c>
      <c r="C513" s="430"/>
      <c r="D513" s="430"/>
      <c r="E513" s="430"/>
      <c r="F513" s="430"/>
      <c r="G513" s="430"/>
      <c r="H513" s="430"/>
      <c r="I513" s="430"/>
      <c r="J513" s="430"/>
      <c r="K513" s="430"/>
      <c r="L513" s="430"/>
      <c r="M513" s="430"/>
      <c r="N513" s="430"/>
    </row>
    <row r="514" spans="2:17" ht="18.75" x14ac:dyDescent="0.3">
      <c r="B514" s="407" t="s">
        <v>13</v>
      </c>
      <c r="C514" s="407"/>
      <c r="D514" s="407"/>
      <c r="E514" s="407"/>
      <c r="F514" s="407"/>
      <c r="G514" s="407"/>
      <c r="H514" s="407"/>
      <c r="I514" s="407"/>
      <c r="J514" s="407"/>
      <c r="K514" s="407"/>
      <c r="L514" s="407"/>
      <c r="M514" s="407"/>
      <c r="N514" s="407"/>
    </row>
    <row r="515" spans="2:17" ht="48.75" customHeight="1" x14ac:dyDescent="0.3">
      <c r="B515" s="62">
        <v>1</v>
      </c>
      <c r="C515" s="33" t="s">
        <v>24</v>
      </c>
      <c r="D515" s="62"/>
      <c r="E515" s="83" t="s">
        <v>911</v>
      </c>
      <c r="F515" s="22" t="s">
        <v>1171</v>
      </c>
      <c r="G515" s="10" t="s">
        <v>399</v>
      </c>
      <c r="H515" s="92"/>
      <c r="I515" s="92"/>
      <c r="J515" s="92"/>
      <c r="K515" s="92"/>
      <c r="L515" s="83" t="s">
        <v>136</v>
      </c>
      <c r="M515" s="91">
        <v>2976769</v>
      </c>
      <c r="N515" s="93"/>
      <c r="Q515" s="173" t="s">
        <v>1137</v>
      </c>
    </row>
    <row r="516" spans="2:17" ht="19.5" customHeight="1" x14ac:dyDescent="0.25">
      <c r="B516" s="352">
        <v>1</v>
      </c>
      <c r="C516" s="352" t="s">
        <v>38</v>
      </c>
      <c r="D516" s="352" t="s">
        <v>423</v>
      </c>
      <c r="E516" s="352" t="s">
        <v>424</v>
      </c>
      <c r="F516" s="187" t="s">
        <v>425</v>
      </c>
      <c r="G516" s="32" t="s">
        <v>316</v>
      </c>
      <c r="H516" s="140" t="s">
        <v>23</v>
      </c>
      <c r="I516" s="32">
        <v>80</v>
      </c>
      <c r="J516" s="32">
        <v>312</v>
      </c>
      <c r="K516" s="32">
        <f t="shared" ref="K516:K527" si="27">J516*I516</f>
        <v>24960</v>
      </c>
      <c r="L516" s="352" t="s">
        <v>184</v>
      </c>
      <c r="M516" s="393">
        <f>SUM(K516:K527)</f>
        <v>769250</v>
      </c>
      <c r="N516" s="352"/>
    </row>
    <row r="517" spans="2:17" ht="15.75" x14ac:dyDescent="0.25">
      <c r="B517" s="353"/>
      <c r="C517" s="353"/>
      <c r="D517" s="353"/>
      <c r="E517" s="353"/>
      <c r="F517" s="187" t="s">
        <v>426</v>
      </c>
      <c r="G517" s="32" t="s">
        <v>316</v>
      </c>
      <c r="H517" s="140" t="s">
        <v>23</v>
      </c>
      <c r="I517" s="32">
        <v>80</v>
      </c>
      <c r="J517" s="32">
        <v>598</v>
      </c>
      <c r="K517" s="32">
        <f t="shared" si="27"/>
        <v>47840</v>
      </c>
      <c r="L517" s="353"/>
      <c r="M517" s="408"/>
      <c r="N517" s="353"/>
    </row>
    <row r="518" spans="2:17" ht="15.75" x14ac:dyDescent="0.25">
      <c r="B518" s="353"/>
      <c r="C518" s="353"/>
      <c r="D518" s="353"/>
      <c r="E518" s="353"/>
      <c r="F518" s="187" t="s">
        <v>427</v>
      </c>
      <c r="G518" s="32" t="s">
        <v>316</v>
      </c>
      <c r="H518" s="140" t="s">
        <v>23</v>
      </c>
      <c r="I518" s="32">
        <v>50</v>
      </c>
      <c r="J518" s="32">
        <v>598</v>
      </c>
      <c r="K518" s="32">
        <f t="shared" si="27"/>
        <v>29900</v>
      </c>
      <c r="L518" s="353"/>
      <c r="M518" s="408"/>
      <c r="N518" s="353"/>
    </row>
    <row r="519" spans="2:17" ht="15.75" x14ac:dyDescent="0.25">
      <c r="B519" s="353"/>
      <c r="C519" s="353"/>
      <c r="D519" s="353"/>
      <c r="E519" s="353"/>
      <c r="F519" s="187" t="s">
        <v>428</v>
      </c>
      <c r="G519" s="32" t="s">
        <v>316</v>
      </c>
      <c r="H519" s="140" t="s">
        <v>23</v>
      </c>
      <c r="I519" s="32">
        <v>35</v>
      </c>
      <c r="J519" s="32">
        <v>538</v>
      </c>
      <c r="K519" s="32">
        <f t="shared" si="27"/>
        <v>18830</v>
      </c>
      <c r="L519" s="353"/>
      <c r="M519" s="408"/>
      <c r="N519" s="353"/>
    </row>
    <row r="520" spans="2:17" ht="21.75" customHeight="1" x14ac:dyDescent="0.25">
      <c r="B520" s="353"/>
      <c r="C520" s="353"/>
      <c r="D520" s="353"/>
      <c r="E520" s="353"/>
      <c r="F520" s="187" t="s">
        <v>429</v>
      </c>
      <c r="G520" s="32" t="s">
        <v>316</v>
      </c>
      <c r="H520" s="140" t="s">
        <v>23</v>
      </c>
      <c r="I520" s="32">
        <v>35</v>
      </c>
      <c r="J520" s="32">
        <v>538</v>
      </c>
      <c r="K520" s="32">
        <f t="shared" si="27"/>
        <v>18830</v>
      </c>
      <c r="L520" s="353"/>
      <c r="M520" s="408"/>
      <c r="N520" s="353"/>
    </row>
    <row r="521" spans="2:17" ht="15.75" x14ac:dyDescent="0.25">
      <c r="B521" s="353"/>
      <c r="C521" s="353"/>
      <c r="D521" s="353"/>
      <c r="E521" s="353"/>
      <c r="F521" s="187" t="s">
        <v>1138</v>
      </c>
      <c r="G521" s="32" t="s">
        <v>316</v>
      </c>
      <c r="H521" s="140" t="s">
        <v>23</v>
      </c>
      <c r="I521" s="32">
        <v>150</v>
      </c>
      <c r="J521" s="32">
        <v>1411</v>
      </c>
      <c r="K521" s="32">
        <f t="shared" si="27"/>
        <v>211650</v>
      </c>
      <c r="L521" s="353"/>
      <c r="M521" s="408"/>
      <c r="N521" s="353"/>
    </row>
    <row r="522" spans="2:17" ht="15.75" x14ac:dyDescent="0.25">
      <c r="B522" s="353"/>
      <c r="C522" s="353"/>
      <c r="D522" s="353"/>
      <c r="E522" s="353"/>
      <c r="F522" s="187" t="s">
        <v>431</v>
      </c>
      <c r="G522" s="32" t="s">
        <v>316</v>
      </c>
      <c r="H522" s="140" t="s">
        <v>23</v>
      </c>
      <c r="I522" s="32">
        <v>10</v>
      </c>
      <c r="J522" s="32">
        <v>312</v>
      </c>
      <c r="K522" s="32">
        <f t="shared" si="27"/>
        <v>3120</v>
      </c>
      <c r="L522" s="353"/>
      <c r="M522" s="408"/>
      <c r="N522" s="353"/>
    </row>
    <row r="523" spans="2:17" ht="15.75" x14ac:dyDescent="0.25">
      <c r="B523" s="353"/>
      <c r="C523" s="353"/>
      <c r="D523" s="353"/>
      <c r="E523" s="353"/>
      <c r="F523" s="187" t="s">
        <v>432</v>
      </c>
      <c r="G523" s="32" t="s">
        <v>316</v>
      </c>
      <c r="H523" s="140" t="s">
        <v>23</v>
      </c>
      <c r="I523" s="32">
        <v>20</v>
      </c>
      <c r="J523" s="32">
        <v>1716</v>
      </c>
      <c r="K523" s="32">
        <f t="shared" si="27"/>
        <v>34320</v>
      </c>
      <c r="L523" s="353"/>
      <c r="M523" s="408"/>
      <c r="N523" s="353"/>
    </row>
    <row r="524" spans="2:17" ht="15.75" x14ac:dyDescent="0.25">
      <c r="B524" s="353"/>
      <c r="C524" s="353"/>
      <c r="D524" s="353"/>
      <c r="E524" s="353"/>
      <c r="F524" s="187" t="s">
        <v>433</v>
      </c>
      <c r="G524" s="32" t="s">
        <v>316</v>
      </c>
      <c r="H524" s="140" t="s">
        <v>23</v>
      </c>
      <c r="I524" s="32">
        <v>30</v>
      </c>
      <c r="J524" s="32">
        <v>1716</v>
      </c>
      <c r="K524" s="32">
        <f t="shared" si="27"/>
        <v>51480</v>
      </c>
      <c r="L524" s="353"/>
      <c r="M524" s="408"/>
      <c r="N524" s="353"/>
    </row>
    <row r="525" spans="2:17" ht="15.75" x14ac:dyDescent="0.25">
      <c r="B525" s="353"/>
      <c r="C525" s="353"/>
      <c r="D525" s="353"/>
      <c r="E525" s="353"/>
      <c r="F525" s="187" t="s">
        <v>434</v>
      </c>
      <c r="G525" s="32" t="s">
        <v>316</v>
      </c>
      <c r="H525" s="140" t="s">
        <v>23</v>
      </c>
      <c r="I525" s="32">
        <v>40</v>
      </c>
      <c r="J525" s="32">
        <v>1716</v>
      </c>
      <c r="K525" s="32">
        <f t="shared" si="27"/>
        <v>68640</v>
      </c>
      <c r="L525" s="353"/>
      <c r="M525" s="408"/>
      <c r="N525" s="353"/>
    </row>
    <row r="526" spans="2:17" ht="15.75" x14ac:dyDescent="0.25">
      <c r="B526" s="353"/>
      <c r="C526" s="353"/>
      <c r="D526" s="353"/>
      <c r="E526" s="353"/>
      <c r="F526" s="187" t="s">
        <v>435</v>
      </c>
      <c r="G526" s="32" t="s">
        <v>316</v>
      </c>
      <c r="H526" s="140" t="s">
        <v>23</v>
      </c>
      <c r="I526" s="32">
        <v>80</v>
      </c>
      <c r="J526" s="32">
        <v>1716</v>
      </c>
      <c r="K526" s="32">
        <f t="shared" si="27"/>
        <v>137280</v>
      </c>
      <c r="L526" s="353"/>
      <c r="M526" s="408"/>
      <c r="N526" s="353"/>
    </row>
    <row r="527" spans="2:17" ht="31.5" x14ac:dyDescent="0.25">
      <c r="B527" s="353"/>
      <c r="C527" s="353"/>
      <c r="D527" s="353"/>
      <c r="E527" s="354"/>
      <c r="F527" s="195" t="s">
        <v>1139</v>
      </c>
      <c r="G527" s="32" t="s">
        <v>320</v>
      </c>
      <c r="H527" s="141" t="s">
        <v>23</v>
      </c>
      <c r="I527" s="32">
        <v>6</v>
      </c>
      <c r="J527" s="32">
        <v>20400</v>
      </c>
      <c r="K527" s="32">
        <f t="shared" si="27"/>
        <v>122400</v>
      </c>
      <c r="L527" s="354"/>
      <c r="M527" s="394"/>
      <c r="N527" s="354"/>
    </row>
    <row r="528" spans="2:17" ht="15.75" x14ac:dyDescent="0.25">
      <c r="B528" s="353"/>
      <c r="C528" s="353"/>
      <c r="D528" s="353"/>
      <c r="E528" s="352" t="s">
        <v>43</v>
      </c>
      <c r="F528" s="234" t="s">
        <v>436</v>
      </c>
      <c r="G528" s="355" t="s">
        <v>437</v>
      </c>
      <c r="H528" s="30" t="s">
        <v>68</v>
      </c>
      <c r="I528" s="30">
        <v>1500</v>
      </c>
      <c r="J528" s="32">
        <v>45</v>
      </c>
      <c r="K528" s="32">
        <f>I528*J528</f>
        <v>67500</v>
      </c>
      <c r="L528" s="352" t="s">
        <v>184</v>
      </c>
      <c r="M528" s="393">
        <f>SUM(K528:K535)</f>
        <v>329404</v>
      </c>
      <c r="N528" s="352"/>
    </row>
    <row r="529" spans="2:14" ht="15.75" x14ac:dyDescent="0.25">
      <c r="B529" s="353"/>
      <c r="C529" s="353"/>
      <c r="D529" s="353"/>
      <c r="E529" s="353"/>
      <c r="F529" s="234" t="s">
        <v>438</v>
      </c>
      <c r="G529" s="364"/>
      <c r="H529" s="30" t="s">
        <v>23</v>
      </c>
      <c r="I529" s="30">
        <v>20</v>
      </c>
      <c r="J529" s="32">
        <v>450</v>
      </c>
      <c r="K529" s="32">
        <f t="shared" ref="K529:K535" si="28">I529*J529</f>
        <v>9000</v>
      </c>
      <c r="L529" s="353"/>
      <c r="M529" s="408"/>
      <c r="N529" s="353"/>
    </row>
    <row r="530" spans="2:14" ht="15.75" x14ac:dyDescent="0.25">
      <c r="B530" s="353"/>
      <c r="C530" s="353"/>
      <c r="D530" s="353"/>
      <c r="E530" s="353"/>
      <c r="F530" s="234" t="s">
        <v>439</v>
      </c>
      <c r="G530" s="364"/>
      <c r="H530" s="30" t="s">
        <v>440</v>
      </c>
      <c r="I530" s="30">
        <v>3</v>
      </c>
      <c r="J530" s="32">
        <v>20218</v>
      </c>
      <c r="K530" s="32">
        <f t="shared" si="28"/>
        <v>60654</v>
      </c>
      <c r="L530" s="353"/>
      <c r="M530" s="408"/>
      <c r="N530" s="353"/>
    </row>
    <row r="531" spans="2:14" ht="15.75" x14ac:dyDescent="0.25">
      <c r="B531" s="353"/>
      <c r="C531" s="353"/>
      <c r="D531" s="353"/>
      <c r="E531" s="353"/>
      <c r="F531" s="234" t="s">
        <v>44</v>
      </c>
      <c r="G531" s="364"/>
      <c r="H531" s="30" t="s">
        <v>46</v>
      </c>
      <c r="I531" s="30">
        <v>50</v>
      </c>
      <c r="J531" s="32">
        <v>89</v>
      </c>
      <c r="K531" s="32">
        <f t="shared" si="28"/>
        <v>4450</v>
      </c>
      <c r="L531" s="353"/>
      <c r="M531" s="408"/>
      <c r="N531" s="353"/>
    </row>
    <row r="532" spans="2:14" ht="15.75" x14ac:dyDescent="0.25">
      <c r="B532" s="353"/>
      <c r="C532" s="353"/>
      <c r="D532" s="353"/>
      <c r="E532" s="353"/>
      <c r="F532" s="206" t="s">
        <v>441</v>
      </c>
      <c r="G532" s="364"/>
      <c r="H532" s="30" t="s">
        <v>56</v>
      </c>
      <c r="I532" s="30">
        <v>0.5</v>
      </c>
      <c r="J532" s="32">
        <v>57000</v>
      </c>
      <c r="K532" s="32">
        <f t="shared" si="28"/>
        <v>28500</v>
      </c>
      <c r="L532" s="353"/>
      <c r="M532" s="408"/>
      <c r="N532" s="353"/>
    </row>
    <row r="533" spans="2:14" ht="31.5" x14ac:dyDescent="0.25">
      <c r="B533" s="353"/>
      <c r="C533" s="353"/>
      <c r="D533" s="353"/>
      <c r="E533" s="353"/>
      <c r="F533" s="206" t="s">
        <v>442</v>
      </c>
      <c r="G533" s="364"/>
      <c r="H533" s="30" t="s">
        <v>56</v>
      </c>
      <c r="I533" s="30">
        <v>1.5</v>
      </c>
      <c r="J533" s="32">
        <v>62000</v>
      </c>
      <c r="K533" s="32">
        <f t="shared" si="28"/>
        <v>93000</v>
      </c>
      <c r="L533" s="353"/>
      <c r="M533" s="408"/>
      <c r="N533" s="353"/>
    </row>
    <row r="534" spans="2:14" ht="31.5" x14ac:dyDescent="0.25">
      <c r="B534" s="353"/>
      <c r="C534" s="353"/>
      <c r="D534" s="353"/>
      <c r="E534" s="353"/>
      <c r="F534" s="206" t="s">
        <v>443</v>
      </c>
      <c r="G534" s="364"/>
      <c r="H534" s="30" t="s">
        <v>56</v>
      </c>
      <c r="I534" s="30">
        <v>0.1</v>
      </c>
      <c r="J534" s="32">
        <v>51000</v>
      </c>
      <c r="K534" s="32">
        <f t="shared" si="28"/>
        <v>5100</v>
      </c>
      <c r="L534" s="353"/>
      <c r="M534" s="408"/>
      <c r="N534" s="353"/>
    </row>
    <row r="535" spans="2:14" ht="31.5" x14ac:dyDescent="0.25">
      <c r="B535" s="354"/>
      <c r="C535" s="354"/>
      <c r="D535" s="354"/>
      <c r="E535" s="354"/>
      <c r="F535" s="234" t="s">
        <v>444</v>
      </c>
      <c r="G535" s="365"/>
      <c r="H535" s="30" t="s">
        <v>55</v>
      </c>
      <c r="I535" s="30">
        <v>90</v>
      </c>
      <c r="J535" s="32">
        <v>680</v>
      </c>
      <c r="K535" s="32">
        <f t="shared" si="28"/>
        <v>61200</v>
      </c>
      <c r="L535" s="354"/>
      <c r="M535" s="394"/>
      <c r="N535" s="354"/>
    </row>
    <row r="536" spans="2:14" ht="18.75" x14ac:dyDescent="0.3">
      <c r="B536" s="349" t="s">
        <v>17</v>
      </c>
      <c r="C536" s="350"/>
      <c r="D536" s="350"/>
      <c r="E536" s="350"/>
      <c r="F536" s="350"/>
      <c r="G536" s="351"/>
      <c r="H536" s="74"/>
      <c r="I536" s="74"/>
      <c r="J536" s="74"/>
      <c r="K536" s="251">
        <f>SUM(K516:K535)</f>
        <v>1098654</v>
      </c>
      <c r="L536" s="74"/>
      <c r="M536" s="79">
        <f>SUM(M515:M535)</f>
        <v>4075423</v>
      </c>
      <c r="N536" s="74"/>
    </row>
    <row r="537" spans="2:14" ht="18.75" x14ac:dyDescent="0.3">
      <c r="B537" s="407" t="s">
        <v>14</v>
      </c>
      <c r="C537" s="407"/>
      <c r="D537" s="407"/>
      <c r="E537" s="407"/>
      <c r="F537" s="407"/>
      <c r="G537" s="407"/>
      <c r="H537" s="407"/>
      <c r="I537" s="407"/>
      <c r="J537" s="407"/>
      <c r="K537" s="407"/>
      <c r="L537" s="407"/>
      <c r="M537" s="407"/>
      <c r="N537" s="407"/>
    </row>
    <row r="538" spans="2:14" ht="15.75" x14ac:dyDescent="0.25">
      <c r="B538" s="2">
        <v>2</v>
      </c>
      <c r="C538" s="2" t="s">
        <v>38</v>
      </c>
      <c r="D538" s="2" t="s">
        <v>445</v>
      </c>
      <c r="E538" s="2" t="s">
        <v>446</v>
      </c>
      <c r="F538" s="196" t="s">
        <v>447</v>
      </c>
      <c r="G538" s="32" t="s">
        <v>448</v>
      </c>
      <c r="H538" s="142" t="s">
        <v>23</v>
      </c>
      <c r="I538" s="32">
        <v>1</v>
      </c>
      <c r="J538" s="2">
        <v>41340</v>
      </c>
      <c r="K538" s="2">
        <f>J538*I538</f>
        <v>41340</v>
      </c>
      <c r="L538" s="2" t="s">
        <v>184</v>
      </c>
      <c r="M538" s="2">
        <f>K538</f>
        <v>41340</v>
      </c>
      <c r="N538" s="2"/>
    </row>
    <row r="539" spans="2:14" ht="15.75" x14ac:dyDescent="0.25">
      <c r="B539" s="2">
        <v>3</v>
      </c>
      <c r="C539" s="2" t="s">
        <v>38</v>
      </c>
      <c r="D539" s="2" t="s">
        <v>445</v>
      </c>
      <c r="E539" s="2" t="s">
        <v>446</v>
      </c>
      <c r="F539" s="197" t="s">
        <v>449</v>
      </c>
      <c r="G539" s="32" t="s">
        <v>448</v>
      </c>
      <c r="H539" s="142" t="s">
        <v>23</v>
      </c>
      <c r="I539" s="142">
        <v>1</v>
      </c>
      <c r="J539" s="2">
        <v>41340</v>
      </c>
      <c r="K539" s="2">
        <f>J539*I539</f>
        <v>41340</v>
      </c>
      <c r="L539" s="2" t="s">
        <v>184</v>
      </c>
      <c r="M539" s="2">
        <f>K539</f>
        <v>41340</v>
      </c>
      <c r="N539" s="2"/>
    </row>
    <row r="540" spans="2:14" ht="63" x14ac:dyDescent="0.25">
      <c r="B540" s="83"/>
      <c r="C540" s="83" t="s">
        <v>38</v>
      </c>
      <c r="D540" s="83"/>
      <c r="E540" s="83"/>
      <c r="F540" s="197" t="s">
        <v>914</v>
      </c>
      <c r="G540" s="32"/>
      <c r="H540" s="142" t="s">
        <v>23</v>
      </c>
      <c r="I540" s="142">
        <v>2</v>
      </c>
      <c r="J540" s="2">
        <v>28513</v>
      </c>
      <c r="K540" s="2">
        <f>I540*J540</f>
        <v>57026</v>
      </c>
      <c r="L540" s="83" t="s">
        <v>416</v>
      </c>
      <c r="M540" s="83">
        <f>K540</f>
        <v>57026</v>
      </c>
      <c r="N540" s="83"/>
    </row>
    <row r="541" spans="2:14" ht="63" x14ac:dyDescent="0.25">
      <c r="B541" s="352">
        <v>4</v>
      </c>
      <c r="C541" s="352" t="s">
        <v>38</v>
      </c>
      <c r="D541" s="352" t="s">
        <v>326</v>
      </c>
      <c r="E541" s="352" t="s">
        <v>27</v>
      </c>
      <c r="F541" s="98" t="s">
        <v>450</v>
      </c>
      <c r="G541" s="32" t="s">
        <v>451</v>
      </c>
      <c r="H541" s="142" t="s">
        <v>23</v>
      </c>
      <c r="I541" s="142">
        <v>6</v>
      </c>
      <c r="J541" s="32">
        <v>23800</v>
      </c>
      <c r="K541" s="2">
        <f t="shared" ref="K541:K553" si="29">I541*J541</f>
        <v>142800</v>
      </c>
      <c r="L541" s="352" t="s">
        <v>184</v>
      </c>
      <c r="M541" s="355">
        <f>SUM(K541:K559)</f>
        <v>557120</v>
      </c>
      <c r="N541" s="352"/>
    </row>
    <row r="542" spans="2:14" ht="47.25" x14ac:dyDescent="0.25">
      <c r="B542" s="353"/>
      <c r="C542" s="353"/>
      <c r="D542" s="353"/>
      <c r="E542" s="353"/>
      <c r="F542" s="104" t="s">
        <v>452</v>
      </c>
      <c r="G542" s="32" t="s">
        <v>453</v>
      </c>
      <c r="H542" s="142" t="s">
        <v>23</v>
      </c>
      <c r="I542" s="142">
        <v>10</v>
      </c>
      <c r="J542" s="32">
        <v>12780</v>
      </c>
      <c r="K542" s="2">
        <f t="shared" si="29"/>
        <v>127800</v>
      </c>
      <c r="L542" s="353"/>
      <c r="M542" s="364"/>
      <c r="N542" s="353"/>
    </row>
    <row r="543" spans="2:14" ht="47.25" x14ac:dyDescent="0.25">
      <c r="B543" s="353"/>
      <c r="C543" s="353"/>
      <c r="D543" s="353"/>
      <c r="E543" s="353"/>
      <c r="F543" s="104" t="s">
        <v>454</v>
      </c>
      <c r="G543" s="32" t="s">
        <v>455</v>
      </c>
      <c r="H543" s="142" t="s">
        <v>23</v>
      </c>
      <c r="I543" s="32">
        <v>10</v>
      </c>
      <c r="J543" s="32">
        <v>3990</v>
      </c>
      <c r="K543" s="2">
        <f t="shared" si="29"/>
        <v>39900</v>
      </c>
      <c r="L543" s="353"/>
      <c r="M543" s="364"/>
      <c r="N543" s="353"/>
    </row>
    <row r="544" spans="2:14" ht="47.25" x14ac:dyDescent="0.25">
      <c r="B544" s="353"/>
      <c r="C544" s="353"/>
      <c r="D544" s="353"/>
      <c r="E544" s="353"/>
      <c r="F544" s="104" t="s">
        <v>456</v>
      </c>
      <c r="G544" s="32" t="s">
        <v>457</v>
      </c>
      <c r="H544" s="142" t="s">
        <v>23</v>
      </c>
      <c r="I544" s="32">
        <v>10</v>
      </c>
      <c r="J544" s="32">
        <v>1993</v>
      </c>
      <c r="K544" s="2">
        <f t="shared" si="29"/>
        <v>19930</v>
      </c>
      <c r="L544" s="353"/>
      <c r="M544" s="364"/>
      <c r="N544" s="353"/>
    </row>
    <row r="545" spans="2:14" ht="31.5" x14ac:dyDescent="0.25">
      <c r="B545" s="353"/>
      <c r="C545" s="353"/>
      <c r="D545" s="353"/>
      <c r="E545" s="353"/>
      <c r="F545" s="104" t="s">
        <v>458</v>
      </c>
      <c r="G545" s="32" t="s">
        <v>459</v>
      </c>
      <c r="H545" s="142" t="s">
        <v>23</v>
      </c>
      <c r="I545" s="32">
        <v>10</v>
      </c>
      <c r="J545" s="32">
        <v>2587</v>
      </c>
      <c r="K545" s="2">
        <f t="shared" si="29"/>
        <v>25870</v>
      </c>
      <c r="L545" s="353"/>
      <c r="M545" s="364"/>
      <c r="N545" s="353"/>
    </row>
    <row r="546" spans="2:14" ht="31.5" x14ac:dyDescent="0.25">
      <c r="B546" s="353"/>
      <c r="C546" s="353"/>
      <c r="D546" s="353"/>
      <c r="E546" s="353"/>
      <c r="F546" s="104" t="s">
        <v>460</v>
      </c>
      <c r="G546" s="32" t="s">
        <v>461</v>
      </c>
      <c r="H546" s="142" t="s">
        <v>23</v>
      </c>
      <c r="I546" s="32">
        <v>10</v>
      </c>
      <c r="J546" s="32">
        <v>2587</v>
      </c>
      <c r="K546" s="2">
        <f t="shared" si="29"/>
        <v>25870</v>
      </c>
      <c r="L546" s="353"/>
      <c r="M546" s="364"/>
      <c r="N546" s="353"/>
    </row>
    <row r="547" spans="2:14" ht="31.5" x14ac:dyDescent="0.25">
      <c r="B547" s="353"/>
      <c r="C547" s="353"/>
      <c r="D547" s="353"/>
      <c r="E547" s="353"/>
      <c r="F547" s="104" t="s">
        <v>462</v>
      </c>
      <c r="G547" s="32" t="s">
        <v>1034</v>
      </c>
      <c r="H547" s="142" t="s">
        <v>23</v>
      </c>
      <c r="I547" s="120">
        <v>10</v>
      </c>
      <c r="J547" s="32">
        <v>2587</v>
      </c>
      <c r="K547" s="2">
        <f t="shared" si="29"/>
        <v>25870</v>
      </c>
      <c r="L547" s="353"/>
      <c r="M547" s="364"/>
      <c r="N547" s="353"/>
    </row>
    <row r="548" spans="2:14" ht="31.5" x14ac:dyDescent="0.25">
      <c r="B548" s="353"/>
      <c r="C548" s="353"/>
      <c r="D548" s="353"/>
      <c r="E548" s="353"/>
      <c r="F548" s="226" t="s">
        <v>465</v>
      </c>
      <c r="G548" s="355" t="s">
        <v>466</v>
      </c>
      <c r="H548" s="142" t="s">
        <v>23</v>
      </c>
      <c r="I548" s="32">
        <v>20</v>
      </c>
      <c r="J548" s="32">
        <v>72</v>
      </c>
      <c r="K548" s="32">
        <f t="shared" si="29"/>
        <v>1440</v>
      </c>
      <c r="L548" s="353"/>
      <c r="M548" s="364"/>
      <c r="N548" s="353"/>
    </row>
    <row r="549" spans="2:14" ht="31.5" x14ac:dyDescent="0.25">
      <c r="B549" s="353"/>
      <c r="C549" s="353"/>
      <c r="D549" s="353"/>
      <c r="E549" s="353"/>
      <c r="F549" s="226" t="s">
        <v>467</v>
      </c>
      <c r="G549" s="364"/>
      <c r="H549" s="142" t="s">
        <v>23</v>
      </c>
      <c r="I549" s="32">
        <v>20</v>
      </c>
      <c r="J549" s="32">
        <v>98</v>
      </c>
      <c r="K549" s="32">
        <f t="shared" si="29"/>
        <v>1960</v>
      </c>
      <c r="L549" s="353"/>
      <c r="M549" s="364"/>
      <c r="N549" s="353"/>
    </row>
    <row r="550" spans="2:14" ht="31.5" x14ac:dyDescent="0.25">
      <c r="B550" s="353"/>
      <c r="C550" s="353"/>
      <c r="D550" s="353"/>
      <c r="E550" s="353"/>
      <c r="F550" s="226" t="s">
        <v>468</v>
      </c>
      <c r="G550" s="364"/>
      <c r="H550" s="142" t="s">
        <v>23</v>
      </c>
      <c r="I550" s="32">
        <v>30</v>
      </c>
      <c r="J550" s="32">
        <v>48</v>
      </c>
      <c r="K550" s="32">
        <f t="shared" si="29"/>
        <v>1440</v>
      </c>
      <c r="L550" s="353"/>
      <c r="M550" s="364"/>
      <c r="N550" s="353"/>
    </row>
    <row r="551" spans="2:14" ht="31.5" x14ac:dyDescent="0.25">
      <c r="B551" s="353"/>
      <c r="C551" s="353"/>
      <c r="D551" s="353"/>
      <c r="E551" s="353"/>
      <c r="F551" s="226" t="s">
        <v>469</v>
      </c>
      <c r="G551" s="364"/>
      <c r="H551" s="142" t="s">
        <v>23</v>
      </c>
      <c r="I551" s="32">
        <v>100</v>
      </c>
      <c r="J551" s="32">
        <v>24</v>
      </c>
      <c r="K551" s="32">
        <f t="shared" si="29"/>
        <v>2400</v>
      </c>
      <c r="L551" s="353"/>
      <c r="M551" s="364"/>
      <c r="N551" s="353"/>
    </row>
    <row r="552" spans="2:14" ht="31.5" x14ac:dyDescent="0.25">
      <c r="B552" s="353"/>
      <c r="C552" s="353"/>
      <c r="D552" s="353"/>
      <c r="E552" s="353"/>
      <c r="F552" s="226" t="s">
        <v>470</v>
      </c>
      <c r="G552" s="365"/>
      <c r="H552" s="142" t="s">
        <v>23</v>
      </c>
      <c r="I552" s="32">
        <v>250</v>
      </c>
      <c r="J552" s="32">
        <v>24</v>
      </c>
      <c r="K552" s="32">
        <f t="shared" si="29"/>
        <v>6000</v>
      </c>
      <c r="L552" s="353"/>
      <c r="M552" s="364"/>
      <c r="N552" s="353"/>
    </row>
    <row r="553" spans="2:14" ht="31.5" x14ac:dyDescent="0.25">
      <c r="B553" s="353"/>
      <c r="C553" s="353"/>
      <c r="D553" s="353"/>
      <c r="E553" s="353"/>
      <c r="F553" s="226" t="s">
        <v>918</v>
      </c>
      <c r="G553" s="32" t="s">
        <v>471</v>
      </c>
      <c r="H553" s="142" t="s">
        <v>23</v>
      </c>
      <c r="I553" s="32">
        <v>10</v>
      </c>
      <c r="J553" s="32">
        <v>8000</v>
      </c>
      <c r="K553" s="32">
        <f t="shared" si="29"/>
        <v>80000</v>
      </c>
      <c r="L553" s="353"/>
      <c r="M553" s="364"/>
      <c r="N553" s="353"/>
    </row>
    <row r="554" spans="2:14" ht="21.75" customHeight="1" x14ac:dyDescent="0.25">
      <c r="B554" s="353"/>
      <c r="C554" s="353"/>
      <c r="D554" s="353"/>
      <c r="E554" s="353"/>
      <c r="F554" s="88" t="s">
        <v>472</v>
      </c>
      <c r="G554" s="32" t="s">
        <v>473</v>
      </c>
      <c r="H554" s="142" t="s">
        <v>23</v>
      </c>
      <c r="I554" s="32">
        <v>40</v>
      </c>
      <c r="J554" s="32">
        <v>165</v>
      </c>
      <c r="K554" s="32">
        <f>I554*J554</f>
        <v>6600</v>
      </c>
      <c r="L554" s="353"/>
      <c r="M554" s="364"/>
      <c r="N554" s="353"/>
    </row>
    <row r="555" spans="2:14" ht="21.75" customHeight="1" x14ac:dyDescent="0.25">
      <c r="B555" s="353"/>
      <c r="C555" s="353"/>
      <c r="D555" s="353"/>
      <c r="E555" s="353"/>
      <c r="F555" s="88" t="s">
        <v>474</v>
      </c>
      <c r="G555" s="32" t="s">
        <v>463</v>
      </c>
      <c r="H555" s="142" t="s">
        <v>23</v>
      </c>
      <c r="I555" s="32">
        <v>30</v>
      </c>
      <c r="J555" s="32">
        <v>108</v>
      </c>
      <c r="K555" s="32">
        <f t="shared" ref="K555:K565" si="30">I555*J555</f>
        <v>3240</v>
      </c>
      <c r="L555" s="353"/>
      <c r="M555" s="364"/>
      <c r="N555" s="353"/>
    </row>
    <row r="556" spans="2:14" ht="47.25" x14ac:dyDescent="0.25">
      <c r="B556" s="353"/>
      <c r="C556" s="353"/>
      <c r="D556" s="353"/>
      <c r="E556" s="353"/>
      <c r="F556" s="98" t="s">
        <v>475</v>
      </c>
      <c r="G556" s="32" t="s">
        <v>473</v>
      </c>
      <c r="H556" s="142" t="s">
        <v>23</v>
      </c>
      <c r="I556" s="32">
        <v>10</v>
      </c>
      <c r="J556" s="32">
        <v>1570</v>
      </c>
      <c r="K556" s="32">
        <f t="shared" si="30"/>
        <v>15700</v>
      </c>
      <c r="L556" s="353"/>
      <c r="M556" s="364"/>
      <c r="N556" s="353"/>
    </row>
    <row r="557" spans="2:14" ht="47.25" x14ac:dyDescent="0.25">
      <c r="B557" s="353"/>
      <c r="C557" s="353"/>
      <c r="D557" s="353"/>
      <c r="E557" s="353"/>
      <c r="F557" s="98" t="s">
        <v>476</v>
      </c>
      <c r="G557" s="32" t="s">
        <v>473</v>
      </c>
      <c r="H557" s="142" t="s">
        <v>23</v>
      </c>
      <c r="I557" s="32">
        <v>10</v>
      </c>
      <c r="J557" s="32">
        <v>1270</v>
      </c>
      <c r="K557" s="32">
        <f t="shared" si="30"/>
        <v>12700</v>
      </c>
      <c r="L557" s="353"/>
      <c r="M557" s="364"/>
      <c r="N557" s="353"/>
    </row>
    <row r="558" spans="2:14" ht="15.75" x14ac:dyDescent="0.25">
      <c r="B558" s="353"/>
      <c r="C558" s="353"/>
      <c r="D558" s="353"/>
      <c r="E558" s="353"/>
      <c r="F558" s="98" t="s">
        <v>478</v>
      </c>
      <c r="G558" s="32" t="s">
        <v>479</v>
      </c>
      <c r="H558" s="142" t="s">
        <v>23</v>
      </c>
      <c r="I558" s="32">
        <v>50</v>
      </c>
      <c r="J558" s="32">
        <v>192</v>
      </c>
      <c r="K558" s="32">
        <f t="shared" si="30"/>
        <v>9600</v>
      </c>
      <c r="L558" s="353"/>
      <c r="M558" s="364"/>
      <c r="N558" s="353"/>
    </row>
    <row r="559" spans="2:14" ht="31.5" x14ac:dyDescent="0.25">
      <c r="B559" s="354"/>
      <c r="C559" s="354"/>
      <c r="D559" s="354"/>
      <c r="E559" s="354"/>
      <c r="F559" s="226" t="s">
        <v>919</v>
      </c>
      <c r="G559" s="32" t="s">
        <v>480</v>
      </c>
      <c r="H559" s="142" t="s">
        <v>23</v>
      </c>
      <c r="I559" s="32">
        <v>1</v>
      </c>
      <c r="J559" s="32">
        <v>8000</v>
      </c>
      <c r="K559" s="32">
        <f t="shared" si="30"/>
        <v>8000</v>
      </c>
      <c r="L559" s="354"/>
      <c r="M559" s="365"/>
      <c r="N559" s="354"/>
    </row>
    <row r="560" spans="2:14" ht="24" customHeight="1" x14ac:dyDescent="0.25">
      <c r="B560" s="352">
        <v>5</v>
      </c>
      <c r="C560" s="352" t="s">
        <v>38</v>
      </c>
      <c r="D560" s="352" t="s">
        <v>481</v>
      </c>
      <c r="E560" s="372" t="s">
        <v>482</v>
      </c>
      <c r="F560" s="224" t="s">
        <v>483</v>
      </c>
      <c r="G560" s="32" t="s">
        <v>477</v>
      </c>
      <c r="H560" s="143" t="s">
        <v>23</v>
      </c>
      <c r="I560" s="32">
        <v>30</v>
      </c>
      <c r="J560" s="32">
        <v>575</v>
      </c>
      <c r="K560" s="32">
        <f t="shared" si="30"/>
        <v>17250</v>
      </c>
      <c r="L560" s="352" t="s">
        <v>184</v>
      </c>
      <c r="M560" s="355">
        <f>SUM(K560:K573)</f>
        <v>289550</v>
      </c>
      <c r="N560" s="352"/>
    </row>
    <row r="561" spans="2:14" ht="24" customHeight="1" x14ac:dyDescent="0.25">
      <c r="B561" s="353"/>
      <c r="C561" s="353"/>
      <c r="D561" s="353"/>
      <c r="E561" s="372"/>
      <c r="F561" s="224" t="s">
        <v>484</v>
      </c>
      <c r="G561" s="32" t="s">
        <v>485</v>
      </c>
      <c r="H561" s="143" t="s">
        <v>23</v>
      </c>
      <c r="I561" s="32">
        <v>12</v>
      </c>
      <c r="J561" s="32">
        <v>5450</v>
      </c>
      <c r="K561" s="32">
        <f t="shared" si="30"/>
        <v>65400</v>
      </c>
      <c r="L561" s="353"/>
      <c r="M561" s="364"/>
      <c r="N561" s="353"/>
    </row>
    <row r="562" spans="2:14" ht="24" customHeight="1" x14ac:dyDescent="0.25">
      <c r="B562" s="353"/>
      <c r="C562" s="353"/>
      <c r="D562" s="353"/>
      <c r="E562" s="372"/>
      <c r="F562" s="224" t="s">
        <v>486</v>
      </c>
      <c r="G562" s="32" t="s">
        <v>487</v>
      </c>
      <c r="H562" s="143" t="s">
        <v>23</v>
      </c>
      <c r="I562" s="32">
        <v>40</v>
      </c>
      <c r="J562" s="32">
        <v>1235</v>
      </c>
      <c r="K562" s="32">
        <f t="shared" si="30"/>
        <v>49400</v>
      </c>
      <c r="L562" s="353"/>
      <c r="M562" s="364"/>
      <c r="N562" s="353"/>
    </row>
    <row r="563" spans="2:14" ht="31.5" x14ac:dyDescent="0.25">
      <c r="B563" s="353"/>
      <c r="C563" s="353"/>
      <c r="D563" s="353"/>
      <c r="E563" s="372"/>
      <c r="F563" s="224" t="s">
        <v>488</v>
      </c>
      <c r="G563" s="32" t="s">
        <v>477</v>
      </c>
      <c r="H563" s="143" t="s">
        <v>23</v>
      </c>
      <c r="I563" s="32">
        <v>30</v>
      </c>
      <c r="J563" s="32">
        <v>420</v>
      </c>
      <c r="K563" s="32">
        <f t="shared" si="30"/>
        <v>12600</v>
      </c>
      <c r="L563" s="353"/>
      <c r="M563" s="364"/>
      <c r="N563" s="353"/>
    </row>
    <row r="564" spans="2:14" ht="23.25" customHeight="1" x14ac:dyDescent="0.25">
      <c r="B564" s="353"/>
      <c r="C564" s="353"/>
      <c r="D564" s="353"/>
      <c r="E564" s="372"/>
      <c r="F564" s="224" t="s">
        <v>489</v>
      </c>
      <c r="G564" s="32" t="s">
        <v>448</v>
      </c>
      <c r="H564" s="143" t="s">
        <v>23</v>
      </c>
      <c r="I564" s="32">
        <v>20</v>
      </c>
      <c r="J564" s="32">
        <v>1333</v>
      </c>
      <c r="K564" s="32">
        <f t="shared" si="30"/>
        <v>26660</v>
      </c>
      <c r="L564" s="353"/>
      <c r="M564" s="364"/>
      <c r="N564" s="353"/>
    </row>
    <row r="565" spans="2:14" ht="24" customHeight="1" x14ac:dyDescent="0.25">
      <c r="B565" s="353"/>
      <c r="C565" s="353"/>
      <c r="D565" s="353"/>
      <c r="E565" s="372"/>
      <c r="F565" s="224" t="s">
        <v>490</v>
      </c>
      <c r="G565" s="32" t="s">
        <v>448</v>
      </c>
      <c r="H565" s="143" t="s">
        <v>23</v>
      </c>
      <c r="I565" s="32">
        <v>10</v>
      </c>
      <c r="J565" s="32">
        <v>720</v>
      </c>
      <c r="K565" s="32">
        <f t="shared" si="30"/>
        <v>7200</v>
      </c>
      <c r="L565" s="353"/>
      <c r="M565" s="364"/>
      <c r="N565" s="353"/>
    </row>
    <row r="566" spans="2:14" ht="31.5" x14ac:dyDescent="0.25">
      <c r="B566" s="353"/>
      <c r="C566" s="353"/>
      <c r="D566" s="353"/>
      <c r="E566" s="372"/>
      <c r="F566" s="226" t="s">
        <v>491</v>
      </c>
      <c r="G566" s="32" t="s">
        <v>448</v>
      </c>
      <c r="H566" s="32" t="s">
        <v>23</v>
      </c>
      <c r="I566" s="138">
        <v>16</v>
      </c>
      <c r="J566" s="144">
        <v>2079</v>
      </c>
      <c r="K566" s="2">
        <f t="shared" ref="K566:K583" si="31">J566*I566</f>
        <v>33264</v>
      </c>
      <c r="L566" s="353"/>
      <c r="M566" s="364"/>
      <c r="N566" s="353"/>
    </row>
    <row r="567" spans="2:14" ht="31.5" x14ac:dyDescent="0.25">
      <c r="B567" s="353"/>
      <c r="C567" s="353"/>
      <c r="D567" s="353"/>
      <c r="E567" s="372"/>
      <c r="F567" s="226" t="s">
        <v>492</v>
      </c>
      <c r="G567" s="32" t="s">
        <v>448</v>
      </c>
      <c r="H567" s="32" t="s">
        <v>23</v>
      </c>
      <c r="I567" s="138">
        <v>16</v>
      </c>
      <c r="J567" s="138">
        <v>966</v>
      </c>
      <c r="K567" s="2">
        <f t="shared" si="31"/>
        <v>15456</v>
      </c>
      <c r="L567" s="353"/>
      <c r="M567" s="364"/>
      <c r="N567" s="353"/>
    </row>
    <row r="568" spans="2:14" ht="31.5" x14ac:dyDescent="0.25">
      <c r="B568" s="353"/>
      <c r="C568" s="353"/>
      <c r="D568" s="353"/>
      <c r="E568" s="372"/>
      <c r="F568" s="226" t="s">
        <v>493</v>
      </c>
      <c r="G568" s="32" t="s">
        <v>448</v>
      </c>
      <c r="H568" s="32" t="s">
        <v>23</v>
      </c>
      <c r="I568" s="138">
        <v>12</v>
      </c>
      <c r="J568" s="144">
        <v>1521</v>
      </c>
      <c r="K568" s="2">
        <f t="shared" si="31"/>
        <v>18252</v>
      </c>
      <c r="L568" s="353"/>
      <c r="M568" s="364"/>
      <c r="N568" s="353"/>
    </row>
    <row r="569" spans="2:14" ht="31.5" x14ac:dyDescent="0.25">
      <c r="B569" s="353"/>
      <c r="C569" s="353"/>
      <c r="D569" s="353"/>
      <c r="E569" s="372"/>
      <c r="F569" s="226" t="s">
        <v>494</v>
      </c>
      <c r="G569" s="373" t="s">
        <v>495</v>
      </c>
      <c r="H569" s="32" t="s">
        <v>23</v>
      </c>
      <c r="I569" s="138">
        <v>4</v>
      </c>
      <c r="J569" s="138">
        <v>830</v>
      </c>
      <c r="K569" s="2">
        <f t="shared" si="31"/>
        <v>3320</v>
      </c>
      <c r="L569" s="353"/>
      <c r="M569" s="364"/>
      <c r="N569" s="353"/>
    </row>
    <row r="570" spans="2:14" ht="31.5" x14ac:dyDescent="0.25">
      <c r="B570" s="353"/>
      <c r="C570" s="353"/>
      <c r="D570" s="353"/>
      <c r="E570" s="372"/>
      <c r="F570" s="226" t="s">
        <v>496</v>
      </c>
      <c r="G570" s="373"/>
      <c r="H570" s="32" t="s">
        <v>23</v>
      </c>
      <c r="I570" s="138">
        <v>4</v>
      </c>
      <c r="J570" s="138">
        <v>956</v>
      </c>
      <c r="K570" s="2">
        <f t="shared" si="31"/>
        <v>3824</v>
      </c>
      <c r="L570" s="353"/>
      <c r="M570" s="364"/>
      <c r="N570" s="353"/>
    </row>
    <row r="571" spans="2:14" ht="31.5" x14ac:dyDescent="0.25">
      <c r="B571" s="353"/>
      <c r="C571" s="353"/>
      <c r="D571" s="353"/>
      <c r="E571" s="372"/>
      <c r="F571" s="226" t="s">
        <v>497</v>
      </c>
      <c r="G571" s="373"/>
      <c r="H571" s="32" t="s">
        <v>23</v>
      </c>
      <c r="I571" s="138">
        <v>4</v>
      </c>
      <c r="J571" s="138">
        <v>872</v>
      </c>
      <c r="K571" s="2">
        <f t="shared" si="31"/>
        <v>3488</v>
      </c>
      <c r="L571" s="353"/>
      <c r="M571" s="364"/>
      <c r="N571" s="353"/>
    </row>
    <row r="572" spans="2:14" ht="31.5" x14ac:dyDescent="0.25">
      <c r="B572" s="353"/>
      <c r="C572" s="353"/>
      <c r="D572" s="353"/>
      <c r="E572" s="372"/>
      <c r="F572" s="226" t="s">
        <v>498</v>
      </c>
      <c r="G572" s="373"/>
      <c r="H572" s="32" t="s">
        <v>23</v>
      </c>
      <c r="I572" s="138">
        <v>8</v>
      </c>
      <c r="J572" s="138">
        <v>872</v>
      </c>
      <c r="K572" s="2">
        <f t="shared" si="31"/>
        <v>6976</v>
      </c>
      <c r="L572" s="353"/>
      <c r="M572" s="364"/>
      <c r="N572" s="353"/>
    </row>
    <row r="573" spans="2:14" ht="31.5" x14ac:dyDescent="0.25">
      <c r="B573" s="354"/>
      <c r="C573" s="354"/>
      <c r="D573" s="354"/>
      <c r="E573" s="372"/>
      <c r="F573" s="226" t="s">
        <v>499</v>
      </c>
      <c r="G573" s="373"/>
      <c r="H573" s="32" t="s">
        <v>23</v>
      </c>
      <c r="I573" s="138">
        <v>12</v>
      </c>
      <c r="J573" s="144">
        <v>2205</v>
      </c>
      <c r="K573" s="2">
        <f t="shared" si="31"/>
        <v>26460</v>
      </c>
      <c r="L573" s="354"/>
      <c r="M573" s="365"/>
      <c r="N573" s="354"/>
    </row>
    <row r="574" spans="2:14" ht="31.5" x14ac:dyDescent="0.25">
      <c r="B574" s="2">
        <v>6</v>
      </c>
      <c r="C574" s="2" t="s">
        <v>24</v>
      </c>
      <c r="D574" s="2" t="s">
        <v>283</v>
      </c>
      <c r="E574" s="2" t="s">
        <v>284</v>
      </c>
      <c r="F574" s="187" t="s">
        <v>500</v>
      </c>
      <c r="G574" s="32" t="s">
        <v>501</v>
      </c>
      <c r="H574" s="32" t="s">
        <v>23</v>
      </c>
      <c r="I574" s="32">
        <v>1</v>
      </c>
      <c r="J574" s="32">
        <v>463632</v>
      </c>
      <c r="K574" s="32">
        <f t="shared" si="31"/>
        <v>463632</v>
      </c>
      <c r="L574" s="32" t="s">
        <v>416</v>
      </c>
      <c r="M574" s="32">
        <f>K574</f>
        <v>463632</v>
      </c>
      <c r="N574" s="2"/>
    </row>
    <row r="575" spans="2:14" ht="47.25" x14ac:dyDescent="0.25">
      <c r="B575" s="352">
        <v>7</v>
      </c>
      <c r="C575" s="352" t="s">
        <v>38</v>
      </c>
      <c r="D575" s="372" t="s">
        <v>502</v>
      </c>
      <c r="E575" s="372" t="s">
        <v>503</v>
      </c>
      <c r="F575" s="198" t="s">
        <v>504</v>
      </c>
      <c r="G575" s="373" t="s">
        <v>505</v>
      </c>
      <c r="H575" s="140" t="s">
        <v>23</v>
      </c>
      <c r="I575" s="140">
        <v>10</v>
      </c>
      <c r="J575" s="2">
        <v>15600</v>
      </c>
      <c r="K575" s="32">
        <f t="shared" si="31"/>
        <v>156000</v>
      </c>
      <c r="L575" s="372" t="s">
        <v>184</v>
      </c>
      <c r="M575" s="352">
        <f>K575+K576+K577</f>
        <v>592800</v>
      </c>
      <c r="N575" s="352"/>
    </row>
    <row r="576" spans="2:14" ht="47.25" x14ac:dyDescent="0.25">
      <c r="B576" s="353"/>
      <c r="C576" s="353"/>
      <c r="D576" s="372"/>
      <c r="E576" s="372"/>
      <c r="F576" s="198" t="s">
        <v>506</v>
      </c>
      <c r="G576" s="373"/>
      <c r="H576" s="140" t="s">
        <v>23</v>
      </c>
      <c r="I576" s="140">
        <v>10</v>
      </c>
      <c r="J576" s="2">
        <v>26000</v>
      </c>
      <c r="K576" s="32">
        <f t="shared" si="31"/>
        <v>260000</v>
      </c>
      <c r="L576" s="372"/>
      <c r="M576" s="353"/>
      <c r="N576" s="353"/>
    </row>
    <row r="577" spans="2:14" ht="15.75" x14ac:dyDescent="0.25">
      <c r="B577" s="354"/>
      <c r="C577" s="354"/>
      <c r="D577" s="372"/>
      <c r="E577" s="372"/>
      <c r="F577" s="187" t="s">
        <v>507</v>
      </c>
      <c r="G577" s="373"/>
      <c r="H577" s="140" t="s">
        <v>23</v>
      </c>
      <c r="I577" s="140">
        <v>1</v>
      </c>
      <c r="J577" s="2">
        <v>176800</v>
      </c>
      <c r="K577" s="32">
        <f t="shared" si="31"/>
        <v>176800</v>
      </c>
      <c r="L577" s="372"/>
      <c r="M577" s="354"/>
      <c r="N577" s="354"/>
    </row>
    <row r="578" spans="2:14" ht="24" customHeight="1" x14ac:dyDescent="0.25">
      <c r="B578" s="2">
        <v>8</v>
      </c>
      <c r="C578" s="2" t="s">
        <v>38</v>
      </c>
      <c r="D578" s="2" t="s">
        <v>508</v>
      </c>
      <c r="E578" s="2" t="s">
        <v>509</v>
      </c>
      <c r="F578" s="199" t="s">
        <v>510</v>
      </c>
      <c r="G578" s="32" t="s">
        <v>508</v>
      </c>
      <c r="H578" s="32" t="s">
        <v>23</v>
      </c>
      <c r="I578" s="32">
        <v>1</v>
      </c>
      <c r="J578" s="32">
        <v>301109</v>
      </c>
      <c r="K578" s="32">
        <f t="shared" si="31"/>
        <v>301109</v>
      </c>
      <c r="L578" s="32" t="s">
        <v>184</v>
      </c>
      <c r="M578" s="32">
        <f t="shared" ref="M578:M583" si="32">K578</f>
        <v>301109</v>
      </c>
      <c r="N578" s="2"/>
    </row>
    <row r="579" spans="2:14" ht="41.25" customHeight="1" x14ac:dyDescent="0.25">
      <c r="B579" s="352">
        <v>9</v>
      </c>
      <c r="C579" s="352" t="s">
        <v>38</v>
      </c>
      <c r="D579" s="352" t="s">
        <v>511</v>
      </c>
      <c r="E579" s="2" t="s">
        <v>381</v>
      </c>
      <c r="F579" s="185" t="s">
        <v>512</v>
      </c>
      <c r="G579" s="32"/>
      <c r="H579" s="32" t="s">
        <v>23</v>
      </c>
      <c r="I579" s="32">
        <v>1</v>
      </c>
      <c r="J579" s="32">
        <v>468000</v>
      </c>
      <c r="K579" s="32">
        <f t="shared" si="31"/>
        <v>468000</v>
      </c>
      <c r="L579" s="32" t="s">
        <v>184</v>
      </c>
      <c r="M579" s="32">
        <f t="shared" si="32"/>
        <v>468000</v>
      </c>
      <c r="N579" s="2"/>
    </row>
    <row r="580" spans="2:14" ht="57" customHeight="1" x14ac:dyDescent="0.25">
      <c r="B580" s="354"/>
      <c r="C580" s="354"/>
      <c r="D580" s="354"/>
      <c r="E580" s="2" t="s">
        <v>513</v>
      </c>
      <c r="F580" s="185" t="s">
        <v>514</v>
      </c>
      <c r="G580" s="32" t="s">
        <v>310</v>
      </c>
      <c r="H580" s="32" t="s">
        <v>23</v>
      </c>
      <c r="I580" s="32">
        <v>1</v>
      </c>
      <c r="J580" s="32">
        <v>325000</v>
      </c>
      <c r="K580" s="32">
        <f t="shared" si="31"/>
        <v>325000</v>
      </c>
      <c r="L580" s="32" t="s">
        <v>184</v>
      </c>
      <c r="M580" s="32">
        <f t="shared" si="32"/>
        <v>325000</v>
      </c>
      <c r="N580" s="2"/>
    </row>
    <row r="581" spans="2:14" ht="52.5" customHeight="1" x14ac:dyDescent="0.25">
      <c r="B581" s="2">
        <v>10</v>
      </c>
      <c r="C581" s="2" t="s">
        <v>38</v>
      </c>
      <c r="D581" s="2" t="s">
        <v>515</v>
      </c>
      <c r="E581" s="2" t="s">
        <v>516</v>
      </c>
      <c r="F581" s="185" t="s">
        <v>517</v>
      </c>
      <c r="G581" s="32" t="s">
        <v>518</v>
      </c>
      <c r="H581" s="32" t="s">
        <v>23</v>
      </c>
      <c r="I581" s="32">
        <v>1</v>
      </c>
      <c r="J581" s="32">
        <v>123500</v>
      </c>
      <c r="K581" s="32">
        <f t="shared" si="31"/>
        <v>123500</v>
      </c>
      <c r="L581" s="32" t="s">
        <v>184</v>
      </c>
      <c r="M581" s="32">
        <f t="shared" si="32"/>
        <v>123500</v>
      </c>
      <c r="N581" s="2"/>
    </row>
    <row r="582" spans="2:14" ht="57" customHeight="1" x14ac:dyDescent="0.25">
      <c r="B582" s="2">
        <v>11</v>
      </c>
      <c r="C582" s="2" t="s">
        <v>38</v>
      </c>
      <c r="D582" s="2" t="s">
        <v>519</v>
      </c>
      <c r="E582" s="2" t="s">
        <v>516</v>
      </c>
      <c r="F582" s="185" t="s">
        <v>739</v>
      </c>
      <c r="G582" s="32" t="s">
        <v>520</v>
      </c>
      <c r="H582" s="32" t="s">
        <v>23</v>
      </c>
      <c r="I582" s="32">
        <v>1</v>
      </c>
      <c r="J582" s="32">
        <v>57000</v>
      </c>
      <c r="K582" s="32">
        <f t="shared" si="31"/>
        <v>57000</v>
      </c>
      <c r="L582" s="32" t="s">
        <v>184</v>
      </c>
      <c r="M582" s="32">
        <f t="shared" si="32"/>
        <v>57000</v>
      </c>
      <c r="N582" s="2"/>
    </row>
    <row r="583" spans="2:14" ht="47.25" x14ac:dyDescent="0.25">
      <c r="B583" s="63">
        <v>12</v>
      </c>
      <c r="C583" s="63" t="s">
        <v>38</v>
      </c>
      <c r="D583" s="2" t="s">
        <v>521</v>
      </c>
      <c r="E583" s="2" t="s">
        <v>522</v>
      </c>
      <c r="F583" s="224" t="s">
        <v>523</v>
      </c>
      <c r="G583" s="32"/>
      <c r="H583" s="32" t="s">
        <v>68</v>
      </c>
      <c r="I583" s="32">
        <v>100</v>
      </c>
      <c r="J583" s="32">
        <v>327</v>
      </c>
      <c r="K583" s="32">
        <f t="shared" si="31"/>
        <v>32700</v>
      </c>
      <c r="L583" s="32" t="s">
        <v>184</v>
      </c>
      <c r="M583" s="32">
        <f t="shared" si="32"/>
        <v>32700</v>
      </c>
      <c r="N583" s="2"/>
    </row>
    <row r="584" spans="2:14" ht="18.75" x14ac:dyDescent="0.3">
      <c r="B584" s="349" t="s">
        <v>17</v>
      </c>
      <c r="C584" s="350"/>
      <c r="D584" s="350"/>
      <c r="E584" s="350"/>
      <c r="F584" s="350"/>
      <c r="G584" s="351"/>
      <c r="H584" s="74"/>
      <c r="I584" s="74"/>
      <c r="J584" s="74"/>
      <c r="K584" s="79">
        <f>SUM(K538:K583)</f>
        <v>3350117</v>
      </c>
      <c r="L584" s="74"/>
      <c r="M584" s="79">
        <f>SUM(M538:M583)</f>
        <v>3350117</v>
      </c>
      <c r="N584" s="74"/>
    </row>
    <row r="585" spans="2:14" ht="18.75" x14ac:dyDescent="0.3">
      <c r="B585" s="407" t="s">
        <v>16</v>
      </c>
      <c r="C585" s="407"/>
      <c r="D585" s="407"/>
      <c r="E585" s="407"/>
      <c r="F585" s="407"/>
      <c r="G585" s="407"/>
      <c r="H585" s="407"/>
      <c r="I585" s="407"/>
      <c r="J585" s="407"/>
      <c r="K585" s="407"/>
      <c r="L585" s="407"/>
      <c r="M585" s="407"/>
      <c r="N585" s="407"/>
    </row>
    <row r="586" spans="2:14" ht="15.75" x14ac:dyDescent="0.25">
      <c r="B586" s="352">
        <v>12</v>
      </c>
      <c r="C586" s="352" t="s">
        <v>38</v>
      </c>
      <c r="D586" s="372" t="s">
        <v>524</v>
      </c>
      <c r="E586" s="372" t="s">
        <v>525</v>
      </c>
      <c r="F586" s="224" t="s">
        <v>526</v>
      </c>
      <c r="G586" s="373" t="s">
        <v>527</v>
      </c>
      <c r="H586" s="32" t="s">
        <v>528</v>
      </c>
      <c r="I586" s="32">
        <v>5</v>
      </c>
      <c r="J586" s="32">
        <v>6500</v>
      </c>
      <c r="K586" s="32">
        <f>I586*J586</f>
        <v>32500</v>
      </c>
      <c r="L586" s="373" t="s">
        <v>29</v>
      </c>
      <c r="M586" s="409">
        <f>SUM(K586:K588)</f>
        <v>70400</v>
      </c>
      <c r="N586" s="372"/>
    </row>
    <row r="587" spans="2:14" ht="15.75" x14ac:dyDescent="0.25">
      <c r="B587" s="353"/>
      <c r="C587" s="353"/>
      <c r="D587" s="372"/>
      <c r="E587" s="372"/>
      <c r="F587" s="224" t="s">
        <v>529</v>
      </c>
      <c r="G587" s="373"/>
      <c r="H587" s="32" t="s">
        <v>68</v>
      </c>
      <c r="I587" s="32">
        <v>50</v>
      </c>
      <c r="J587" s="32">
        <v>128</v>
      </c>
      <c r="K587" s="32">
        <f t="shared" ref="K587:K649" si="33">I587*J587</f>
        <v>6400</v>
      </c>
      <c r="L587" s="373"/>
      <c r="M587" s="409"/>
      <c r="N587" s="372"/>
    </row>
    <row r="588" spans="2:14" ht="15.75" x14ac:dyDescent="0.25">
      <c r="B588" s="354"/>
      <c r="C588" s="354"/>
      <c r="D588" s="372"/>
      <c r="E588" s="372"/>
      <c r="F588" s="224" t="s">
        <v>530</v>
      </c>
      <c r="G588" s="373"/>
      <c r="H588" s="32" t="s">
        <v>528</v>
      </c>
      <c r="I588" s="32">
        <v>3</v>
      </c>
      <c r="J588" s="32">
        <v>10500</v>
      </c>
      <c r="K588" s="32">
        <f t="shared" si="33"/>
        <v>31500</v>
      </c>
      <c r="L588" s="373"/>
      <c r="M588" s="409"/>
      <c r="N588" s="372"/>
    </row>
    <row r="589" spans="2:14" ht="15.75" x14ac:dyDescent="0.25">
      <c r="B589" s="352">
        <v>13</v>
      </c>
      <c r="C589" s="352" t="s">
        <v>38</v>
      </c>
      <c r="D589" s="372" t="s">
        <v>531</v>
      </c>
      <c r="E589" s="372" t="s">
        <v>532</v>
      </c>
      <c r="F589" s="207" t="s">
        <v>533</v>
      </c>
      <c r="G589" s="373" t="s">
        <v>534</v>
      </c>
      <c r="H589" s="32" t="s">
        <v>56</v>
      </c>
      <c r="I589" s="32">
        <v>0.4</v>
      </c>
      <c r="J589" s="32">
        <v>57000</v>
      </c>
      <c r="K589" s="32">
        <f t="shared" si="33"/>
        <v>22800</v>
      </c>
      <c r="L589" s="373" t="s">
        <v>29</v>
      </c>
      <c r="M589" s="409">
        <f>SUM(K589:K595)</f>
        <v>197200</v>
      </c>
      <c r="N589" s="372"/>
    </row>
    <row r="590" spans="2:14" ht="15.75" x14ac:dyDescent="0.25">
      <c r="B590" s="353"/>
      <c r="C590" s="353"/>
      <c r="D590" s="372"/>
      <c r="E590" s="372"/>
      <c r="F590" s="207" t="s">
        <v>535</v>
      </c>
      <c r="G590" s="373"/>
      <c r="H590" s="32" t="s">
        <v>56</v>
      </c>
      <c r="I590" s="32">
        <v>0.4</v>
      </c>
      <c r="J590" s="32">
        <v>57000</v>
      </c>
      <c r="K590" s="32">
        <f t="shared" si="33"/>
        <v>22800</v>
      </c>
      <c r="L590" s="373"/>
      <c r="M590" s="409"/>
      <c r="N590" s="372"/>
    </row>
    <row r="591" spans="2:14" ht="15.75" x14ac:dyDescent="0.25">
      <c r="B591" s="353"/>
      <c r="C591" s="353"/>
      <c r="D591" s="372"/>
      <c r="E591" s="372"/>
      <c r="F591" s="207" t="s">
        <v>536</v>
      </c>
      <c r="G591" s="373"/>
      <c r="H591" s="32" t="s">
        <v>56</v>
      </c>
      <c r="I591" s="32">
        <v>0.5</v>
      </c>
      <c r="J591" s="32">
        <v>58000</v>
      </c>
      <c r="K591" s="32">
        <f t="shared" si="33"/>
        <v>29000</v>
      </c>
      <c r="L591" s="373"/>
      <c r="M591" s="409"/>
      <c r="N591" s="372"/>
    </row>
    <row r="592" spans="2:14" ht="15.75" x14ac:dyDescent="0.25">
      <c r="B592" s="353"/>
      <c r="C592" s="353"/>
      <c r="D592" s="372"/>
      <c r="E592" s="372"/>
      <c r="F592" s="207" t="s">
        <v>537</v>
      </c>
      <c r="G592" s="373"/>
      <c r="H592" s="32" t="s">
        <v>56</v>
      </c>
      <c r="I592" s="32">
        <v>0.5</v>
      </c>
      <c r="J592" s="32">
        <v>58000</v>
      </c>
      <c r="K592" s="32">
        <f t="shared" si="33"/>
        <v>29000</v>
      </c>
      <c r="L592" s="373"/>
      <c r="M592" s="409"/>
      <c r="N592" s="372"/>
    </row>
    <row r="593" spans="2:14" ht="15.75" x14ac:dyDescent="0.25">
      <c r="B593" s="353"/>
      <c r="C593" s="353"/>
      <c r="D593" s="372"/>
      <c r="E593" s="372"/>
      <c r="F593" s="224" t="s">
        <v>538</v>
      </c>
      <c r="G593" s="373"/>
      <c r="H593" s="32" t="s">
        <v>23</v>
      </c>
      <c r="I593" s="32">
        <v>20</v>
      </c>
      <c r="J593" s="32">
        <v>450</v>
      </c>
      <c r="K593" s="32">
        <f t="shared" si="33"/>
        <v>9000</v>
      </c>
      <c r="L593" s="373"/>
      <c r="M593" s="409"/>
      <c r="N593" s="372"/>
    </row>
    <row r="594" spans="2:14" ht="15.75" x14ac:dyDescent="0.25">
      <c r="B594" s="353"/>
      <c r="C594" s="353"/>
      <c r="D594" s="372"/>
      <c r="E594" s="372"/>
      <c r="F594" s="224" t="s">
        <v>539</v>
      </c>
      <c r="G594" s="373"/>
      <c r="H594" s="32" t="s">
        <v>56</v>
      </c>
      <c r="I594" s="32">
        <v>20</v>
      </c>
      <c r="J594" s="32">
        <v>1400</v>
      </c>
      <c r="K594" s="32">
        <f t="shared" si="33"/>
        <v>28000</v>
      </c>
      <c r="L594" s="373"/>
      <c r="M594" s="409"/>
      <c r="N594" s="372"/>
    </row>
    <row r="595" spans="2:14" ht="15.75" x14ac:dyDescent="0.25">
      <c r="B595" s="354"/>
      <c r="C595" s="354"/>
      <c r="D595" s="372"/>
      <c r="E595" s="372"/>
      <c r="F595" s="224" t="s">
        <v>540</v>
      </c>
      <c r="G595" s="373"/>
      <c r="H595" s="32" t="s">
        <v>56</v>
      </c>
      <c r="I595" s="32">
        <v>20</v>
      </c>
      <c r="J595" s="32">
        <v>2830</v>
      </c>
      <c r="K595" s="32">
        <f t="shared" si="33"/>
        <v>56600</v>
      </c>
      <c r="L595" s="373"/>
      <c r="M595" s="409"/>
      <c r="N595" s="372"/>
    </row>
    <row r="596" spans="2:14" ht="15.75" x14ac:dyDescent="0.25">
      <c r="B596" s="352">
        <v>14</v>
      </c>
      <c r="C596" s="352" t="s">
        <v>38</v>
      </c>
      <c r="D596" s="372" t="s">
        <v>541</v>
      </c>
      <c r="E596" s="372" t="s">
        <v>1190</v>
      </c>
      <c r="F596" s="207" t="s">
        <v>542</v>
      </c>
      <c r="G596" s="373" t="s">
        <v>543</v>
      </c>
      <c r="H596" s="32" t="s">
        <v>464</v>
      </c>
      <c r="I596" s="32">
        <v>200</v>
      </c>
      <c r="J596" s="32">
        <v>1331</v>
      </c>
      <c r="K596" s="32">
        <f t="shared" si="33"/>
        <v>266200</v>
      </c>
      <c r="L596" s="373" t="s">
        <v>29</v>
      </c>
      <c r="M596" s="409">
        <f>SUM(K596:K609)</f>
        <v>430870</v>
      </c>
      <c r="N596" s="372"/>
    </row>
    <row r="597" spans="2:14" ht="15.75" x14ac:dyDescent="0.25">
      <c r="B597" s="353"/>
      <c r="C597" s="353"/>
      <c r="D597" s="372"/>
      <c r="E597" s="372"/>
      <c r="F597" s="207" t="s">
        <v>544</v>
      </c>
      <c r="G597" s="373"/>
      <c r="H597" s="32" t="s">
        <v>23</v>
      </c>
      <c r="I597" s="32">
        <v>10</v>
      </c>
      <c r="J597" s="32">
        <v>1450</v>
      </c>
      <c r="K597" s="32">
        <f t="shared" si="33"/>
        <v>14500</v>
      </c>
      <c r="L597" s="373"/>
      <c r="M597" s="409"/>
      <c r="N597" s="372"/>
    </row>
    <row r="598" spans="2:14" ht="15.75" x14ac:dyDescent="0.25">
      <c r="B598" s="353"/>
      <c r="C598" s="353"/>
      <c r="D598" s="372"/>
      <c r="E598" s="372"/>
      <c r="F598" s="88" t="s">
        <v>545</v>
      </c>
      <c r="G598" s="373"/>
      <c r="H598" s="32" t="s">
        <v>23</v>
      </c>
      <c r="I598" s="32">
        <v>10</v>
      </c>
      <c r="J598" s="32">
        <v>2922</v>
      </c>
      <c r="K598" s="32">
        <f t="shared" si="33"/>
        <v>29220</v>
      </c>
      <c r="L598" s="373"/>
      <c r="M598" s="409"/>
      <c r="N598" s="372"/>
    </row>
    <row r="599" spans="2:14" ht="15.75" x14ac:dyDescent="0.25">
      <c r="B599" s="353"/>
      <c r="C599" s="353"/>
      <c r="D599" s="372"/>
      <c r="E599" s="372"/>
      <c r="F599" s="224" t="s">
        <v>546</v>
      </c>
      <c r="G599" s="373"/>
      <c r="H599" s="32" t="s">
        <v>23</v>
      </c>
      <c r="I599" s="32">
        <v>16</v>
      </c>
      <c r="J599" s="32">
        <v>138</v>
      </c>
      <c r="K599" s="32">
        <f t="shared" si="33"/>
        <v>2208</v>
      </c>
      <c r="L599" s="373"/>
      <c r="M599" s="409"/>
      <c r="N599" s="372"/>
    </row>
    <row r="600" spans="2:14" ht="15.75" x14ac:dyDescent="0.25">
      <c r="B600" s="353"/>
      <c r="C600" s="353"/>
      <c r="D600" s="372"/>
      <c r="E600" s="372"/>
      <c r="F600" s="207" t="s">
        <v>547</v>
      </c>
      <c r="G600" s="373"/>
      <c r="H600" s="32" t="s">
        <v>56</v>
      </c>
      <c r="I600" s="32">
        <v>0.1</v>
      </c>
      <c r="J600" s="32">
        <v>62000</v>
      </c>
      <c r="K600" s="32">
        <f t="shared" si="33"/>
        <v>6200</v>
      </c>
      <c r="L600" s="373"/>
      <c r="M600" s="409"/>
      <c r="N600" s="372"/>
    </row>
    <row r="601" spans="2:14" ht="15.75" x14ac:dyDescent="0.25">
      <c r="B601" s="353"/>
      <c r="C601" s="353"/>
      <c r="D601" s="372"/>
      <c r="E601" s="372"/>
      <c r="F601" s="88" t="s">
        <v>548</v>
      </c>
      <c r="G601" s="373"/>
      <c r="H601" s="32" t="s">
        <v>23</v>
      </c>
      <c r="I601" s="32">
        <v>8</v>
      </c>
      <c r="J601" s="32">
        <v>1298</v>
      </c>
      <c r="K601" s="32">
        <f t="shared" si="33"/>
        <v>10384</v>
      </c>
      <c r="L601" s="373"/>
      <c r="M601" s="409"/>
      <c r="N601" s="372"/>
    </row>
    <row r="602" spans="2:14" ht="15.75" x14ac:dyDescent="0.25">
      <c r="B602" s="353"/>
      <c r="C602" s="353"/>
      <c r="D602" s="372"/>
      <c r="E602" s="372"/>
      <c r="F602" s="224" t="s">
        <v>549</v>
      </c>
      <c r="G602" s="373"/>
      <c r="H602" s="32" t="s">
        <v>23</v>
      </c>
      <c r="I602" s="32">
        <v>16</v>
      </c>
      <c r="J602" s="32">
        <v>98</v>
      </c>
      <c r="K602" s="32">
        <f t="shared" si="33"/>
        <v>1568</v>
      </c>
      <c r="L602" s="373"/>
      <c r="M602" s="409"/>
      <c r="N602" s="372"/>
    </row>
    <row r="603" spans="2:14" ht="15.75" x14ac:dyDescent="0.25">
      <c r="B603" s="353"/>
      <c r="C603" s="353"/>
      <c r="D603" s="372"/>
      <c r="E603" s="372"/>
      <c r="F603" s="88" t="s">
        <v>550</v>
      </c>
      <c r="G603" s="373"/>
      <c r="H603" s="32" t="s">
        <v>23</v>
      </c>
      <c r="I603" s="32">
        <v>20</v>
      </c>
      <c r="J603" s="32">
        <v>838</v>
      </c>
      <c r="K603" s="32">
        <f t="shared" si="33"/>
        <v>16760</v>
      </c>
      <c r="L603" s="373"/>
      <c r="M603" s="409"/>
      <c r="N603" s="372"/>
    </row>
    <row r="604" spans="2:14" ht="15.75" x14ac:dyDescent="0.25">
      <c r="B604" s="353"/>
      <c r="C604" s="353"/>
      <c r="D604" s="372"/>
      <c r="E604" s="372"/>
      <c r="F604" s="224" t="s">
        <v>551</v>
      </c>
      <c r="G604" s="373"/>
      <c r="H604" s="32" t="s">
        <v>901</v>
      </c>
      <c r="I604" s="32">
        <v>13</v>
      </c>
      <c r="J604" s="32">
        <v>1950</v>
      </c>
      <c r="K604" s="32">
        <f t="shared" si="33"/>
        <v>25350</v>
      </c>
      <c r="L604" s="373"/>
      <c r="M604" s="409"/>
      <c r="N604" s="372"/>
    </row>
    <row r="605" spans="2:14" ht="15.75" x14ac:dyDescent="0.25">
      <c r="B605" s="353"/>
      <c r="C605" s="353"/>
      <c r="D605" s="372"/>
      <c r="E605" s="372"/>
      <c r="F605" s="224" t="s">
        <v>552</v>
      </c>
      <c r="G605" s="373"/>
      <c r="H605" s="32" t="s">
        <v>55</v>
      </c>
      <c r="I605" s="32">
        <v>200</v>
      </c>
      <c r="J605" s="32">
        <v>78</v>
      </c>
      <c r="K605" s="32">
        <f t="shared" si="33"/>
        <v>15600</v>
      </c>
      <c r="L605" s="373"/>
      <c r="M605" s="409"/>
      <c r="N605" s="372"/>
    </row>
    <row r="606" spans="2:14" ht="15.75" x14ac:dyDescent="0.25">
      <c r="B606" s="353"/>
      <c r="C606" s="353"/>
      <c r="D606" s="372"/>
      <c r="E606" s="372"/>
      <c r="F606" s="207" t="s">
        <v>553</v>
      </c>
      <c r="G606" s="373"/>
      <c r="H606" s="32" t="s">
        <v>23</v>
      </c>
      <c r="I606" s="32">
        <v>10</v>
      </c>
      <c r="J606" s="32">
        <v>70</v>
      </c>
      <c r="K606" s="32">
        <f t="shared" si="33"/>
        <v>700</v>
      </c>
      <c r="L606" s="373"/>
      <c r="M606" s="409"/>
      <c r="N606" s="372"/>
    </row>
    <row r="607" spans="2:14" ht="15.75" x14ac:dyDescent="0.25">
      <c r="B607" s="353"/>
      <c r="C607" s="353"/>
      <c r="D607" s="372"/>
      <c r="E607" s="372"/>
      <c r="F607" s="207" t="s">
        <v>554</v>
      </c>
      <c r="G607" s="373"/>
      <c r="H607" s="32" t="s">
        <v>134</v>
      </c>
      <c r="I607" s="32">
        <v>60</v>
      </c>
      <c r="J607" s="32">
        <v>635</v>
      </c>
      <c r="K607" s="32">
        <f t="shared" si="33"/>
        <v>38100</v>
      </c>
      <c r="L607" s="373"/>
      <c r="M607" s="409"/>
      <c r="N607" s="372"/>
    </row>
    <row r="608" spans="2:14" ht="15.75" x14ac:dyDescent="0.25">
      <c r="B608" s="353"/>
      <c r="C608" s="353"/>
      <c r="D608" s="372"/>
      <c r="E608" s="372"/>
      <c r="F608" s="224" t="s">
        <v>555</v>
      </c>
      <c r="G608" s="373"/>
      <c r="H608" s="32" t="s">
        <v>23</v>
      </c>
      <c r="I608" s="32">
        <v>20</v>
      </c>
      <c r="J608" s="32">
        <v>24</v>
      </c>
      <c r="K608" s="32">
        <f t="shared" si="33"/>
        <v>480</v>
      </c>
      <c r="L608" s="373"/>
      <c r="M608" s="409"/>
      <c r="N608" s="372"/>
    </row>
    <row r="609" spans="2:14" ht="15.75" x14ac:dyDescent="0.25">
      <c r="B609" s="354"/>
      <c r="C609" s="354"/>
      <c r="D609" s="372"/>
      <c r="E609" s="372"/>
      <c r="F609" s="88" t="s">
        <v>556</v>
      </c>
      <c r="G609" s="373"/>
      <c r="H609" s="32" t="s">
        <v>23</v>
      </c>
      <c r="I609" s="32">
        <v>10</v>
      </c>
      <c r="J609" s="32">
        <v>360</v>
      </c>
      <c r="K609" s="32">
        <f t="shared" si="33"/>
        <v>3600</v>
      </c>
      <c r="L609" s="373"/>
      <c r="M609" s="409"/>
      <c r="N609" s="372"/>
    </row>
    <row r="610" spans="2:14" ht="15.75" x14ac:dyDescent="0.25">
      <c r="B610" s="352">
        <v>15</v>
      </c>
      <c r="C610" s="352" t="s">
        <v>38</v>
      </c>
      <c r="D610" s="429" t="s">
        <v>1188</v>
      </c>
      <c r="E610" s="372" t="s">
        <v>1191</v>
      </c>
      <c r="F610" s="207" t="s">
        <v>557</v>
      </c>
      <c r="G610" s="373" t="s">
        <v>558</v>
      </c>
      <c r="H610" s="32" t="s">
        <v>464</v>
      </c>
      <c r="I610" s="32">
        <v>100</v>
      </c>
      <c r="J610" s="32">
        <v>1417</v>
      </c>
      <c r="K610" s="32">
        <f t="shared" si="33"/>
        <v>141700</v>
      </c>
      <c r="L610" s="373" t="s">
        <v>29</v>
      </c>
      <c r="M610" s="409">
        <f>SUM(K610:K619)</f>
        <v>349128</v>
      </c>
      <c r="N610" s="372"/>
    </row>
    <row r="611" spans="2:14" ht="15.75" x14ac:dyDescent="0.25">
      <c r="B611" s="353"/>
      <c r="C611" s="353"/>
      <c r="D611" s="429"/>
      <c r="E611" s="372"/>
      <c r="F611" s="88" t="s">
        <v>559</v>
      </c>
      <c r="G611" s="373"/>
      <c r="H611" s="32" t="s">
        <v>23</v>
      </c>
      <c r="I611" s="32">
        <v>6</v>
      </c>
      <c r="J611" s="32">
        <v>2875</v>
      </c>
      <c r="K611" s="32">
        <f t="shared" si="33"/>
        <v>17250</v>
      </c>
      <c r="L611" s="373"/>
      <c r="M611" s="409"/>
      <c r="N611" s="372"/>
    </row>
    <row r="612" spans="2:14" ht="15.75" x14ac:dyDescent="0.25">
      <c r="B612" s="353"/>
      <c r="C612" s="353"/>
      <c r="D612" s="429"/>
      <c r="E612" s="372"/>
      <c r="F612" s="88" t="s">
        <v>560</v>
      </c>
      <c r="G612" s="373"/>
      <c r="H612" s="32" t="s">
        <v>23</v>
      </c>
      <c r="I612" s="32">
        <v>12</v>
      </c>
      <c r="J612" s="32">
        <v>634</v>
      </c>
      <c r="K612" s="32">
        <f t="shared" si="33"/>
        <v>7608</v>
      </c>
      <c r="L612" s="373"/>
      <c r="M612" s="409"/>
      <c r="N612" s="372"/>
    </row>
    <row r="613" spans="2:14" ht="15.75" x14ac:dyDescent="0.25">
      <c r="B613" s="353"/>
      <c r="C613" s="353"/>
      <c r="D613" s="429"/>
      <c r="E613" s="372"/>
      <c r="F613" s="88" t="s">
        <v>548</v>
      </c>
      <c r="G613" s="373"/>
      <c r="H613" s="32" t="s">
        <v>23</v>
      </c>
      <c r="I613" s="32">
        <v>15</v>
      </c>
      <c r="J613" s="32">
        <v>1298</v>
      </c>
      <c r="K613" s="32">
        <f t="shared" si="33"/>
        <v>19470</v>
      </c>
      <c r="L613" s="373"/>
      <c r="M613" s="409"/>
      <c r="N613" s="372"/>
    </row>
    <row r="614" spans="2:14" ht="15.75" x14ac:dyDescent="0.25">
      <c r="B614" s="353"/>
      <c r="C614" s="353"/>
      <c r="D614" s="429"/>
      <c r="E614" s="372"/>
      <c r="F614" s="224" t="s">
        <v>549</v>
      </c>
      <c r="G614" s="373"/>
      <c r="H614" s="32" t="s">
        <v>23</v>
      </c>
      <c r="I614" s="32">
        <v>80</v>
      </c>
      <c r="J614" s="32">
        <v>98</v>
      </c>
      <c r="K614" s="32">
        <f>I614*J614</f>
        <v>7840</v>
      </c>
      <c r="L614" s="373"/>
      <c r="M614" s="409"/>
      <c r="N614" s="372"/>
    </row>
    <row r="615" spans="2:14" ht="15.75" x14ac:dyDescent="0.25">
      <c r="B615" s="353"/>
      <c r="C615" s="353"/>
      <c r="D615" s="429"/>
      <c r="E615" s="372"/>
      <c r="F615" s="207" t="s">
        <v>561</v>
      </c>
      <c r="G615" s="373"/>
      <c r="H615" s="32" t="s">
        <v>23</v>
      </c>
      <c r="I615" s="32">
        <v>56</v>
      </c>
      <c r="J615" s="32">
        <v>160</v>
      </c>
      <c r="K615" s="32">
        <f t="shared" si="33"/>
        <v>8960</v>
      </c>
      <c r="L615" s="373"/>
      <c r="M615" s="409"/>
      <c r="N615" s="372"/>
    </row>
    <row r="616" spans="2:14" ht="15.75" x14ac:dyDescent="0.25">
      <c r="B616" s="353"/>
      <c r="C616" s="353"/>
      <c r="D616" s="429"/>
      <c r="E616" s="372"/>
      <c r="F616" s="224" t="s">
        <v>551</v>
      </c>
      <c r="G616" s="373"/>
      <c r="H616" s="32" t="s">
        <v>901</v>
      </c>
      <c r="I616" s="32">
        <v>10</v>
      </c>
      <c r="J616" s="32">
        <v>1950</v>
      </c>
      <c r="K616" s="32">
        <f t="shared" si="33"/>
        <v>19500</v>
      </c>
      <c r="L616" s="373"/>
      <c r="M616" s="409"/>
      <c r="N616" s="372"/>
    </row>
    <row r="617" spans="2:14" ht="15.75" x14ac:dyDescent="0.25">
      <c r="B617" s="353"/>
      <c r="C617" s="353"/>
      <c r="D617" s="429"/>
      <c r="E617" s="372"/>
      <c r="F617" s="224" t="s">
        <v>552</v>
      </c>
      <c r="G617" s="373"/>
      <c r="H617" s="32" t="s">
        <v>55</v>
      </c>
      <c r="I617" s="32">
        <v>100</v>
      </c>
      <c r="J617" s="32">
        <v>78</v>
      </c>
      <c r="K617" s="32">
        <f t="shared" si="33"/>
        <v>7800</v>
      </c>
      <c r="L617" s="373"/>
      <c r="M617" s="409"/>
      <c r="N617" s="372"/>
    </row>
    <row r="618" spans="2:14" ht="15.75" x14ac:dyDescent="0.25">
      <c r="B618" s="353"/>
      <c r="C618" s="353"/>
      <c r="D618" s="429"/>
      <c r="E618" s="372"/>
      <c r="F618" s="207" t="s">
        <v>562</v>
      </c>
      <c r="G618" s="373"/>
      <c r="H618" s="32" t="s">
        <v>56</v>
      </c>
      <c r="I618" s="32">
        <v>0.1</v>
      </c>
      <c r="J618" s="32">
        <v>62000</v>
      </c>
      <c r="K618" s="32">
        <f t="shared" si="33"/>
        <v>6200</v>
      </c>
      <c r="L618" s="373"/>
      <c r="M618" s="409"/>
      <c r="N618" s="372"/>
    </row>
    <row r="619" spans="2:14" ht="15.75" x14ac:dyDescent="0.25">
      <c r="B619" s="354"/>
      <c r="C619" s="354"/>
      <c r="D619" s="429"/>
      <c r="E619" s="372"/>
      <c r="F619" s="207" t="s">
        <v>563</v>
      </c>
      <c r="G619" s="373"/>
      <c r="H619" s="32" t="s">
        <v>134</v>
      </c>
      <c r="I619" s="32">
        <v>200</v>
      </c>
      <c r="J619" s="32">
        <v>564</v>
      </c>
      <c r="K619" s="32">
        <f t="shared" si="33"/>
        <v>112800</v>
      </c>
      <c r="L619" s="373"/>
      <c r="M619" s="409"/>
      <c r="N619" s="372"/>
    </row>
    <row r="620" spans="2:14" ht="15.75" x14ac:dyDescent="0.25">
      <c r="B620" s="352">
        <v>16</v>
      </c>
      <c r="C620" s="352" t="s">
        <v>38</v>
      </c>
      <c r="D620" s="352" t="s">
        <v>990</v>
      </c>
      <c r="E620" s="372" t="s">
        <v>564</v>
      </c>
      <c r="F620" s="224" t="s">
        <v>549</v>
      </c>
      <c r="G620" s="373" t="s">
        <v>565</v>
      </c>
      <c r="H620" s="32" t="s">
        <v>23</v>
      </c>
      <c r="I620" s="32">
        <v>100</v>
      </c>
      <c r="J620" s="32">
        <v>98</v>
      </c>
      <c r="K620" s="32">
        <f t="shared" si="33"/>
        <v>9800</v>
      </c>
      <c r="L620" s="373" t="s">
        <v>29</v>
      </c>
      <c r="M620" s="409">
        <f>SUM(K620:K624)</f>
        <v>85260</v>
      </c>
      <c r="N620" s="372"/>
    </row>
    <row r="621" spans="2:14" ht="15.75" x14ac:dyDescent="0.25">
      <c r="B621" s="353"/>
      <c r="C621" s="353"/>
      <c r="D621" s="353"/>
      <c r="E621" s="372"/>
      <c r="F621" s="88" t="s">
        <v>548</v>
      </c>
      <c r="G621" s="373"/>
      <c r="H621" s="32" t="s">
        <v>23</v>
      </c>
      <c r="I621" s="32">
        <v>20</v>
      </c>
      <c r="J621" s="32">
        <v>1298</v>
      </c>
      <c r="K621" s="32">
        <f t="shared" si="33"/>
        <v>25960</v>
      </c>
      <c r="L621" s="373"/>
      <c r="M621" s="409"/>
      <c r="N621" s="372"/>
    </row>
    <row r="622" spans="2:14" ht="15.75" x14ac:dyDescent="0.25">
      <c r="B622" s="353"/>
      <c r="C622" s="353"/>
      <c r="D622" s="353"/>
      <c r="E622" s="372"/>
      <c r="F622" s="207" t="s">
        <v>561</v>
      </c>
      <c r="G622" s="373"/>
      <c r="H622" s="32" t="s">
        <v>23</v>
      </c>
      <c r="I622" s="32">
        <v>22</v>
      </c>
      <c r="J622" s="32">
        <v>160</v>
      </c>
      <c r="K622" s="32">
        <f t="shared" si="33"/>
        <v>3520</v>
      </c>
      <c r="L622" s="373"/>
      <c r="M622" s="409"/>
      <c r="N622" s="372"/>
    </row>
    <row r="623" spans="2:14" ht="15.75" x14ac:dyDescent="0.25">
      <c r="B623" s="353"/>
      <c r="C623" s="353"/>
      <c r="D623" s="353"/>
      <c r="E623" s="372"/>
      <c r="F623" s="88" t="s">
        <v>545</v>
      </c>
      <c r="G623" s="373"/>
      <c r="H623" s="32" t="s">
        <v>23</v>
      </c>
      <c r="I623" s="32">
        <v>10</v>
      </c>
      <c r="J623" s="32">
        <v>2922</v>
      </c>
      <c r="K623" s="32">
        <f t="shared" si="33"/>
        <v>29220</v>
      </c>
      <c r="L623" s="373"/>
      <c r="M623" s="409"/>
      <c r="N623" s="372"/>
    </row>
    <row r="624" spans="2:14" ht="15.75" x14ac:dyDescent="0.25">
      <c r="B624" s="354"/>
      <c r="C624" s="354"/>
      <c r="D624" s="354"/>
      <c r="E624" s="372"/>
      <c r="F624" s="88" t="s">
        <v>550</v>
      </c>
      <c r="G624" s="373"/>
      <c r="H624" s="32" t="s">
        <v>57</v>
      </c>
      <c r="I624" s="32">
        <v>20</v>
      </c>
      <c r="J624" s="32">
        <v>838</v>
      </c>
      <c r="K624" s="32">
        <f t="shared" si="33"/>
        <v>16760</v>
      </c>
      <c r="L624" s="373"/>
      <c r="M624" s="409"/>
      <c r="N624" s="372"/>
    </row>
    <row r="625" spans="2:14" ht="15.75" x14ac:dyDescent="0.25">
      <c r="B625" s="352">
        <v>17</v>
      </c>
      <c r="C625" s="352" t="s">
        <v>38</v>
      </c>
      <c r="D625" s="372" t="s">
        <v>566</v>
      </c>
      <c r="E625" s="372" t="s">
        <v>1189</v>
      </c>
      <c r="F625" s="207" t="s">
        <v>567</v>
      </c>
      <c r="G625" s="373" t="s">
        <v>568</v>
      </c>
      <c r="H625" s="32" t="s">
        <v>56</v>
      </c>
      <c r="I625" s="32">
        <v>6</v>
      </c>
      <c r="J625" s="32">
        <v>71500</v>
      </c>
      <c r="K625" s="32">
        <f t="shared" si="33"/>
        <v>429000</v>
      </c>
      <c r="L625" s="373" t="s">
        <v>29</v>
      </c>
      <c r="M625" s="409">
        <f>SUM(K625:K638)</f>
        <v>591846</v>
      </c>
      <c r="N625" s="372"/>
    </row>
    <row r="626" spans="2:14" ht="15.75" x14ac:dyDescent="0.25">
      <c r="B626" s="353"/>
      <c r="C626" s="353"/>
      <c r="D626" s="372"/>
      <c r="E626" s="372"/>
      <c r="F626" s="224" t="s">
        <v>569</v>
      </c>
      <c r="G626" s="373"/>
      <c r="H626" s="32" t="s">
        <v>901</v>
      </c>
      <c r="I626" s="32">
        <v>25</v>
      </c>
      <c r="J626" s="32">
        <v>1950</v>
      </c>
      <c r="K626" s="32">
        <f t="shared" si="33"/>
        <v>48750</v>
      </c>
      <c r="L626" s="373"/>
      <c r="M626" s="409"/>
      <c r="N626" s="372"/>
    </row>
    <row r="627" spans="2:14" ht="15.75" x14ac:dyDescent="0.25">
      <c r="B627" s="353"/>
      <c r="C627" s="353"/>
      <c r="D627" s="372"/>
      <c r="E627" s="372"/>
      <c r="F627" s="224" t="s">
        <v>552</v>
      </c>
      <c r="G627" s="373"/>
      <c r="H627" s="32" t="s">
        <v>55</v>
      </c>
      <c r="I627" s="32">
        <v>300</v>
      </c>
      <c r="J627" s="32">
        <v>78</v>
      </c>
      <c r="K627" s="32">
        <f t="shared" si="33"/>
        <v>23400</v>
      </c>
      <c r="L627" s="373"/>
      <c r="M627" s="409"/>
      <c r="N627" s="372"/>
    </row>
    <row r="628" spans="2:14" ht="15.75" x14ac:dyDescent="0.25">
      <c r="B628" s="353"/>
      <c r="C628" s="353"/>
      <c r="D628" s="372"/>
      <c r="E628" s="372"/>
      <c r="F628" s="207" t="s">
        <v>570</v>
      </c>
      <c r="G628" s="373"/>
      <c r="H628" s="32" t="s">
        <v>23</v>
      </c>
      <c r="I628" s="32">
        <v>6</v>
      </c>
      <c r="J628" s="32">
        <v>160</v>
      </c>
      <c r="K628" s="32">
        <f t="shared" si="33"/>
        <v>960</v>
      </c>
      <c r="L628" s="373"/>
      <c r="M628" s="409"/>
      <c r="N628" s="372"/>
    </row>
    <row r="629" spans="2:14" ht="15.75" x14ac:dyDescent="0.25">
      <c r="B629" s="353"/>
      <c r="C629" s="353"/>
      <c r="D629" s="372"/>
      <c r="E629" s="372"/>
      <c r="F629" s="88" t="s">
        <v>571</v>
      </c>
      <c r="G629" s="373"/>
      <c r="H629" s="32" t="s">
        <v>23</v>
      </c>
      <c r="I629" s="32">
        <v>6</v>
      </c>
      <c r="J629" s="32">
        <v>1298</v>
      </c>
      <c r="K629" s="32">
        <f t="shared" si="33"/>
        <v>7788</v>
      </c>
      <c r="L629" s="373"/>
      <c r="M629" s="409"/>
      <c r="N629" s="372"/>
    </row>
    <row r="630" spans="2:14" ht="15.75" x14ac:dyDescent="0.25">
      <c r="B630" s="353"/>
      <c r="C630" s="353"/>
      <c r="D630" s="372"/>
      <c r="E630" s="372"/>
      <c r="F630" s="224" t="s">
        <v>549</v>
      </c>
      <c r="G630" s="373"/>
      <c r="H630" s="32" t="s">
        <v>23</v>
      </c>
      <c r="I630" s="32">
        <v>12</v>
      </c>
      <c r="J630" s="32">
        <v>98</v>
      </c>
      <c r="K630" s="32">
        <f t="shared" si="33"/>
        <v>1176</v>
      </c>
      <c r="L630" s="373"/>
      <c r="M630" s="409"/>
      <c r="N630" s="372"/>
    </row>
    <row r="631" spans="2:14" ht="15.75" x14ac:dyDescent="0.25">
      <c r="B631" s="353"/>
      <c r="C631" s="353"/>
      <c r="D631" s="372"/>
      <c r="E631" s="372"/>
      <c r="F631" s="88" t="s">
        <v>572</v>
      </c>
      <c r="G631" s="373"/>
      <c r="H631" s="32" t="s">
        <v>23</v>
      </c>
      <c r="I631" s="32">
        <v>2</v>
      </c>
      <c r="J631" s="32">
        <v>23800</v>
      </c>
      <c r="K631" s="32">
        <f t="shared" si="33"/>
        <v>47600</v>
      </c>
      <c r="L631" s="373"/>
      <c r="M631" s="409"/>
      <c r="N631" s="372"/>
    </row>
    <row r="632" spans="2:14" ht="15.75" x14ac:dyDescent="0.25">
      <c r="B632" s="353"/>
      <c r="C632" s="353"/>
      <c r="D632" s="372"/>
      <c r="E632" s="372"/>
      <c r="F632" s="207" t="s">
        <v>573</v>
      </c>
      <c r="G632" s="373"/>
      <c r="H632" s="32" t="s">
        <v>23</v>
      </c>
      <c r="I632" s="32">
        <v>4</v>
      </c>
      <c r="J632" s="32">
        <v>2760</v>
      </c>
      <c r="K632" s="32">
        <f t="shared" si="33"/>
        <v>11040</v>
      </c>
      <c r="L632" s="373"/>
      <c r="M632" s="409"/>
      <c r="N632" s="372"/>
    </row>
    <row r="633" spans="2:14" ht="15.75" x14ac:dyDescent="0.25">
      <c r="B633" s="353"/>
      <c r="C633" s="353"/>
      <c r="D633" s="372"/>
      <c r="E633" s="372"/>
      <c r="F633" s="88" t="s">
        <v>556</v>
      </c>
      <c r="G633" s="373"/>
      <c r="H633" s="32" t="s">
        <v>23</v>
      </c>
      <c r="I633" s="32">
        <v>20</v>
      </c>
      <c r="J633" s="32">
        <v>360</v>
      </c>
      <c r="K633" s="32">
        <f t="shared" si="33"/>
        <v>7200</v>
      </c>
      <c r="L633" s="373"/>
      <c r="M633" s="409"/>
      <c r="N633" s="372"/>
    </row>
    <row r="634" spans="2:14" ht="15.75" x14ac:dyDescent="0.25">
      <c r="B634" s="353"/>
      <c r="C634" s="353"/>
      <c r="D634" s="372"/>
      <c r="E634" s="372"/>
      <c r="F634" s="224" t="s">
        <v>555</v>
      </c>
      <c r="G634" s="373"/>
      <c r="H634" s="32" t="s">
        <v>23</v>
      </c>
      <c r="I634" s="32">
        <v>40</v>
      </c>
      <c r="J634" s="32">
        <v>24</v>
      </c>
      <c r="K634" s="32">
        <f t="shared" si="33"/>
        <v>960</v>
      </c>
      <c r="L634" s="373"/>
      <c r="M634" s="409"/>
      <c r="N634" s="372"/>
    </row>
    <row r="635" spans="2:14" ht="15.75" x14ac:dyDescent="0.25">
      <c r="B635" s="353"/>
      <c r="C635" s="353"/>
      <c r="D635" s="372"/>
      <c r="E635" s="372"/>
      <c r="F635" s="207" t="s">
        <v>553</v>
      </c>
      <c r="G635" s="373"/>
      <c r="H635" s="32" t="s">
        <v>23</v>
      </c>
      <c r="I635" s="32">
        <v>40</v>
      </c>
      <c r="J635" s="32">
        <v>70</v>
      </c>
      <c r="K635" s="32">
        <f t="shared" si="33"/>
        <v>2800</v>
      </c>
      <c r="L635" s="373"/>
      <c r="M635" s="409"/>
      <c r="N635" s="372"/>
    </row>
    <row r="636" spans="2:14" ht="15.75" x14ac:dyDescent="0.25">
      <c r="B636" s="353"/>
      <c r="C636" s="353"/>
      <c r="D636" s="372"/>
      <c r="E636" s="372"/>
      <c r="F636" s="88" t="s">
        <v>574</v>
      </c>
      <c r="G636" s="373"/>
      <c r="H636" s="32" t="s">
        <v>23</v>
      </c>
      <c r="I636" s="32">
        <v>2</v>
      </c>
      <c r="J636" s="32">
        <v>3438</v>
      </c>
      <c r="K636" s="32">
        <f t="shared" si="33"/>
        <v>6876</v>
      </c>
      <c r="L636" s="373"/>
      <c r="M636" s="409"/>
      <c r="N636" s="372"/>
    </row>
    <row r="637" spans="2:14" ht="15.75" x14ac:dyDescent="0.25">
      <c r="B637" s="353"/>
      <c r="C637" s="353"/>
      <c r="D637" s="372"/>
      <c r="E637" s="372"/>
      <c r="F637" s="88" t="s">
        <v>575</v>
      </c>
      <c r="G637" s="373"/>
      <c r="H637" s="32" t="s">
        <v>23</v>
      </c>
      <c r="I637" s="32">
        <v>4</v>
      </c>
      <c r="J637" s="32">
        <v>819</v>
      </c>
      <c r="K637" s="32">
        <f t="shared" si="33"/>
        <v>3276</v>
      </c>
      <c r="L637" s="373"/>
      <c r="M637" s="409"/>
      <c r="N637" s="372"/>
    </row>
    <row r="638" spans="2:14" ht="15.75" x14ac:dyDescent="0.25">
      <c r="B638" s="354"/>
      <c r="C638" s="354"/>
      <c r="D638" s="372"/>
      <c r="E638" s="372"/>
      <c r="F638" s="207" t="s">
        <v>576</v>
      </c>
      <c r="G638" s="373"/>
      <c r="H638" s="32" t="s">
        <v>23</v>
      </c>
      <c r="I638" s="32">
        <v>2</v>
      </c>
      <c r="J638" s="32">
        <v>510</v>
      </c>
      <c r="K638" s="32">
        <f t="shared" si="33"/>
        <v>1020</v>
      </c>
      <c r="L638" s="373"/>
      <c r="M638" s="409"/>
      <c r="N638" s="372"/>
    </row>
    <row r="639" spans="2:14" ht="15.75" x14ac:dyDescent="0.25">
      <c r="B639" s="352">
        <v>18</v>
      </c>
      <c r="C639" s="352" t="s">
        <v>38</v>
      </c>
      <c r="D639" s="372" t="s">
        <v>577</v>
      </c>
      <c r="E639" s="372" t="s">
        <v>578</v>
      </c>
      <c r="F639" s="224" t="s">
        <v>579</v>
      </c>
      <c r="G639" s="373" t="s">
        <v>580</v>
      </c>
      <c r="H639" s="32" t="s">
        <v>68</v>
      </c>
      <c r="I639" s="32">
        <v>8000</v>
      </c>
      <c r="J639" s="32">
        <v>45</v>
      </c>
      <c r="K639" s="32">
        <f t="shared" si="33"/>
        <v>360000</v>
      </c>
      <c r="L639" s="373" t="s">
        <v>29</v>
      </c>
      <c r="M639" s="409">
        <f>SUM(K639:K641)</f>
        <v>463500</v>
      </c>
      <c r="N639" s="372"/>
    </row>
    <row r="640" spans="2:14" ht="15.75" x14ac:dyDescent="0.25">
      <c r="B640" s="353"/>
      <c r="C640" s="353"/>
      <c r="D640" s="372"/>
      <c r="E640" s="372"/>
      <c r="F640" s="224" t="s">
        <v>538</v>
      </c>
      <c r="G640" s="373"/>
      <c r="H640" s="32" t="s">
        <v>23</v>
      </c>
      <c r="I640" s="32">
        <v>100</v>
      </c>
      <c r="J640" s="32">
        <v>450</v>
      </c>
      <c r="K640" s="32">
        <f t="shared" si="33"/>
        <v>45000</v>
      </c>
      <c r="L640" s="373"/>
      <c r="M640" s="409"/>
      <c r="N640" s="372"/>
    </row>
    <row r="641" spans="2:14" ht="15.75" x14ac:dyDescent="0.25">
      <c r="B641" s="354"/>
      <c r="C641" s="354"/>
      <c r="D641" s="372"/>
      <c r="E641" s="372"/>
      <c r="F641" s="224" t="s">
        <v>923</v>
      </c>
      <c r="G641" s="373"/>
      <c r="H641" s="32" t="s">
        <v>23</v>
      </c>
      <c r="I641" s="32">
        <v>50</v>
      </c>
      <c r="J641" s="32">
        <v>1170</v>
      </c>
      <c r="K641" s="32">
        <f t="shared" si="33"/>
        <v>58500</v>
      </c>
      <c r="L641" s="373"/>
      <c r="M641" s="409"/>
      <c r="N641" s="372"/>
    </row>
    <row r="642" spans="2:14" ht="15.75" x14ac:dyDescent="0.25">
      <c r="B642" s="352">
        <v>19</v>
      </c>
      <c r="C642" s="352" t="s">
        <v>38</v>
      </c>
      <c r="D642" s="372" t="s">
        <v>581</v>
      </c>
      <c r="E642" s="372" t="s">
        <v>582</v>
      </c>
      <c r="F642" s="224" t="s">
        <v>583</v>
      </c>
      <c r="G642" s="373"/>
      <c r="H642" s="32" t="s">
        <v>23</v>
      </c>
      <c r="I642" s="32">
        <v>10</v>
      </c>
      <c r="J642" s="32">
        <v>11750</v>
      </c>
      <c r="K642" s="32">
        <f t="shared" si="33"/>
        <v>117500</v>
      </c>
      <c r="L642" s="373" t="s">
        <v>29</v>
      </c>
      <c r="M642" s="409">
        <f>SUM(K642:K650)</f>
        <v>396000</v>
      </c>
      <c r="N642" s="372"/>
    </row>
    <row r="643" spans="2:14" ht="15.75" x14ac:dyDescent="0.25">
      <c r="B643" s="353"/>
      <c r="C643" s="353"/>
      <c r="D643" s="372"/>
      <c r="E643" s="372"/>
      <c r="F643" s="224" t="s">
        <v>584</v>
      </c>
      <c r="G643" s="373"/>
      <c r="H643" s="32" t="s">
        <v>528</v>
      </c>
      <c r="I643" s="32">
        <v>7</v>
      </c>
      <c r="J643" s="32">
        <v>6500</v>
      </c>
      <c r="K643" s="32">
        <f t="shared" si="33"/>
        <v>45500</v>
      </c>
      <c r="L643" s="373"/>
      <c r="M643" s="409"/>
      <c r="N643" s="372"/>
    </row>
    <row r="644" spans="2:14" ht="15.75" x14ac:dyDescent="0.25">
      <c r="B644" s="353"/>
      <c r="C644" s="353"/>
      <c r="D644" s="372"/>
      <c r="E644" s="372"/>
      <c r="F644" s="207" t="s">
        <v>535</v>
      </c>
      <c r="G644" s="373"/>
      <c r="H644" s="30" t="s">
        <v>56</v>
      </c>
      <c r="I644" s="30">
        <v>0.5</v>
      </c>
      <c r="J644" s="32">
        <v>57000</v>
      </c>
      <c r="K644" s="32">
        <f t="shared" si="33"/>
        <v>28500</v>
      </c>
      <c r="L644" s="373"/>
      <c r="M644" s="409"/>
      <c r="N644" s="372"/>
    </row>
    <row r="645" spans="2:14" ht="15.75" x14ac:dyDescent="0.25">
      <c r="B645" s="353"/>
      <c r="C645" s="353"/>
      <c r="D645" s="372"/>
      <c r="E645" s="372"/>
      <c r="F645" s="207" t="s">
        <v>537</v>
      </c>
      <c r="G645" s="373"/>
      <c r="H645" s="30" t="s">
        <v>56</v>
      </c>
      <c r="I645" s="30">
        <v>0.5</v>
      </c>
      <c r="J645" s="32">
        <v>58000</v>
      </c>
      <c r="K645" s="32">
        <f t="shared" si="33"/>
        <v>29000</v>
      </c>
      <c r="L645" s="373"/>
      <c r="M645" s="409"/>
      <c r="N645" s="372"/>
    </row>
    <row r="646" spans="2:14" ht="15.75" x14ac:dyDescent="0.25">
      <c r="B646" s="353"/>
      <c r="C646" s="353"/>
      <c r="D646" s="372"/>
      <c r="E646" s="372"/>
      <c r="F646" s="207" t="s">
        <v>533</v>
      </c>
      <c r="G646" s="373"/>
      <c r="H646" s="30" t="s">
        <v>56</v>
      </c>
      <c r="I646" s="30">
        <v>0.5</v>
      </c>
      <c r="J646" s="32">
        <v>57000</v>
      </c>
      <c r="K646" s="32">
        <f t="shared" si="33"/>
        <v>28500</v>
      </c>
      <c r="L646" s="373"/>
      <c r="M646" s="409"/>
      <c r="N646" s="372"/>
    </row>
    <row r="647" spans="2:14" ht="15.75" x14ac:dyDescent="0.25">
      <c r="B647" s="353"/>
      <c r="C647" s="353"/>
      <c r="D647" s="372"/>
      <c r="E647" s="372"/>
      <c r="F647" s="207" t="s">
        <v>536</v>
      </c>
      <c r="G647" s="373"/>
      <c r="H647" s="30" t="s">
        <v>56</v>
      </c>
      <c r="I647" s="30">
        <v>0.5</v>
      </c>
      <c r="J647" s="32">
        <v>58000</v>
      </c>
      <c r="K647" s="32">
        <f t="shared" si="33"/>
        <v>29000</v>
      </c>
      <c r="L647" s="373"/>
      <c r="M647" s="409"/>
      <c r="N647" s="372"/>
    </row>
    <row r="648" spans="2:14" ht="15.75" x14ac:dyDescent="0.25">
      <c r="B648" s="353"/>
      <c r="C648" s="353"/>
      <c r="D648" s="372"/>
      <c r="E648" s="372"/>
      <c r="F648" s="224" t="s">
        <v>585</v>
      </c>
      <c r="G648" s="373"/>
      <c r="H648" s="32" t="s">
        <v>23</v>
      </c>
      <c r="I648" s="32">
        <v>50</v>
      </c>
      <c r="J648" s="32">
        <v>450</v>
      </c>
      <c r="K648" s="32">
        <f t="shared" si="33"/>
        <v>22500</v>
      </c>
      <c r="L648" s="373"/>
      <c r="M648" s="409"/>
      <c r="N648" s="372"/>
    </row>
    <row r="649" spans="2:14" ht="15.75" x14ac:dyDescent="0.25">
      <c r="B649" s="353"/>
      <c r="C649" s="353"/>
      <c r="D649" s="372"/>
      <c r="E649" s="372"/>
      <c r="F649" s="224" t="s">
        <v>1222</v>
      </c>
      <c r="G649" s="373"/>
      <c r="H649" s="32" t="s">
        <v>528</v>
      </c>
      <c r="I649" s="32">
        <v>5</v>
      </c>
      <c r="J649" s="32">
        <v>6500</v>
      </c>
      <c r="K649" s="32">
        <f t="shared" si="33"/>
        <v>32500</v>
      </c>
      <c r="L649" s="373"/>
      <c r="M649" s="409"/>
      <c r="N649" s="372"/>
    </row>
    <row r="650" spans="2:14" ht="15.75" x14ac:dyDescent="0.25">
      <c r="B650" s="354"/>
      <c r="C650" s="354"/>
      <c r="D650" s="372"/>
      <c r="E650" s="372"/>
      <c r="F650" s="224" t="s">
        <v>530</v>
      </c>
      <c r="G650" s="373"/>
      <c r="H650" s="32" t="s">
        <v>528</v>
      </c>
      <c r="I650" s="32">
        <v>6</v>
      </c>
      <c r="J650" s="32">
        <v>10500</v>
      </c>
      <c r="K650" s="32">
        <f>I650*J650</f>
        <v>63000</v>
      </c>
      <c r="L650" s="373"/>
      <c r="M650" s="409"/>
      <c r="N650" s="372"/>
    </row>
    <row r="651" spans="2:14" ht="15.75" x14ac:dyDescent="0.25">
      <c r="B651" s="352">
        <v>20</v>
      </c>
      <c r="C651" s="352" t="s">
        <v>38</v>
      </c>
      <c r="D651" s="372" t="s">
        <v>586</v>
      </c>
      <c r="E651" s="372" t="s">
        <v>587</v>
      </c>
      <c r="F651" s="224" t="s">
        <v>588</v>
      </c>
      <c r="G651" s="373"/>
      <c r="H651" s="32" t="s">
        <v>57</v>
      </c>
      <c r="I651" s="32">
        <v>60</v>
      </c>
      <c r="J651" s="32">
        <v>450</v>
      </c>
      <c r="K651" s="32">
        <f t="shared" ref="K651:K664" si="34">J651*I651</f>
        <v>27000</v>
      </c>
      <c r="L651" s="373" t="s">
        <v>29</v>
      </c>
      <c r="M651" s="409">
        <f>SUM(K651:K659)</f>
        <v>549600</v>
      </c>
      <c r="N651" s="372"/>
    </row>
    <row r="652" spans="2:14" ht="15.75" x14ac:dyDescent="0.25">
      <c r="B652" s="353"/>
      <c r="C652" s="353"/>
      <c r="D652" s="372"/>
      <c r="E652" s="372"/>
      <c r="F652" s="207" t="s">
        <v>589</v>
      </c>
      <c r="G652" s="373"/>
      <c r="H652" s="32" t="s">
        <v>56</v>
      </c>
      <c r="I652" s="32">
        <v>2</v>
      </c>
      <c r="J652" s="32">
        <v>57000</v>
      </c>
      <c r="K652" s="32">
        <f t="shared" si="34"/>
        <v>114000</v>
      </c>
      <c r="L652" s="373"/>
      <c r="M652" s="409"/>
      <c r="N652" s="372"/>
    </row>
    <row r="653" spans="2:14" ht="15.75" x14ac:dyDescent="0.25">
      <c r="B653" s="353"/>
      <c r="C653" s="353"/>
      <c r="D653" s="372"/>
      <c r="E653" s="372"/>
      <c r="F653" s="224" t="s">
        <v>590</v>
      </c>
      <c r="G653" s="373"/>
      <c r="H653" s="32" t="s">
        <v>56</v>
      </c>
      <c r="I653" s="32">
        <v>20</v>
      </c>
      <c r="J653" s="32">
        <v>2830</v>
      </c>
      <c r="K653" s="32">
        <f t="shared" si="34"/>
        <v>56600</v>
      </c>
      <c r="L653" s="373"/>
      <c r="M653" s="409"/>
      <c r="N653" s="372"/>
    </row>
    <row r="654" spans="2:14" ht="15.75" x14ac:dyDescent="0.25">
      <c r="B654" s="353"/>
      <c r="C654" s="353"/>
      <c r="D654" s="372"/>
      <c r="E654" s="372"/>
      <c r="F654" s="224" t="s">
        <v>591</v>
      </c>
      <c r="G654" s="373"/>
      <c r="H654" s="32" t="s">
        <v>56</v>
      </c>
      <c r="I654" s="32">
        <v>60</v>
      </c>
      <c r="J654" s="32">
        <v>1400</v>
      </c>
      <c r="K654" s="32">
        <f t="shared" si="34"/>
        <v>84000</v>
      </c>
      <c r="L654" s="373"/>
      <c r="M654" s="409"/>
      <c r="N654" s="372"/>
    </row>
    <row r="655" spans="2:14" ht="15.75" x14ac:dyDescent="0.25">
      <c r="B655" s="353"/>
      <c r="C655" s="353"/>
      <c r="D655" s="372"/>
      <c r="E655" s="372"/>
      <c r="F655" s="224" t="s">
        <v>592</v>
      </c>
      <c r="G655" s="373"/>
      <c r="H655" s="32" t="s">
        <v>528</v>
      </c>
      <c r="I655" s="32">
        <v>5</v>
      </c>
      <c r="J655" s="32">
        <v>10500</v>
      </c>
      <c r="K655" s="32">
        <f t="shared" si="34"/>
        <v>52500</v>
      </c>
      <c r="L655" s="373"/>
      <c r="M655" s="409"/>
      <c r="N655" s="372"/>
    </row>
    <row r="656" spans="2:14" ht="31.5" x14ac:dyDescent="0.25">
      <c r="B656" s="353"/>
      <c r="C656" s="353"/>
      <c r="D656" s="372"/>
      <c r="E656" s="372"/>
      <c r="F656" s="206" t="s">
        <v>593</v>
      </c>
      <c r="G656" s="373"/>
      <c r="H656" s="32" t="s">
        <v>56</v>
      </c>
      <c r="I656" s="32">
        <v>0.5</v>
      </c>
      <c r="J656" s="32">
        <v>65000</v>
      </c>
      <c r="K656" s="32">
        <f t="shared" si="34"/>
        <v>32500</v>
      </c>
      <c r="L656" s="373"/>
      <c r="M656" s="409"/>
      <c r="N656" s="372"/>
    </row>
    <row r="657" spans="2:14" ht="31.5" x14ac:dyDescent="0.25">
      <c r="B657" s="353"/>
      <c r="C657" s="353"/>
      <c r="D657" s="372"/>
      <c r="E657" s="372"/>
      <c r="F657" s="206" t="s">
        <v>442</v>
      </c>
      <c r="G657" s="373"/>
      <c r="H657" s="32" t="s">
        <v>56</v>
      </c>
      <c r="I657" s="32">
        <v>1</v>
      </c>
      <c r="J657" s="32">
        <v>62000</v>
      </c>
      <c r="K657" s="32">
        <f t="shared" si="34"/>
        <v>62000</v>
      </c>
      <c r="L657" s="373"/>
      <c r="M657" s="409"/>
      <c r="N657" s="372"/>
    </row>
    <row r="658" spans="2:14" ht="15.75" x14ac:dyDescent="0.25">
      <c r="B658" s="353"/>
      <c r="C658" s="353"/>
      <c r="D658" s="372"/>
      <c r="E658" s="372"/>
      <c r="F658" s="207" t="s">
        <v>594</v>
      </c>
      <c r="G658" s="373"/>
      <c r="H658" s="32" t="s">
        <v>56</v>
      </c>
      <c r="I658" s="32">
        <v>1</v>
      </c>
      <c r="J658" s="32">
        <v>58000</v>
      </c>
      <c r="K658" s="32">
        <f t="shared" si="34"/>
        <v>58000</v>
      </c>
      <c r="L658" s="373"/>
      <c r="M658" s="409"/>
      <c r="N658" s="372"/>
    </row>
    <row r="659" spans="2:14" ht="15.75" x14ac:dyDescent="0.25">
      <c r="B659" s="354"/>
      <c r="C659" s="354"/>
      <c r="D659" s="372"/>
      <c r="E659" s="372"/>
      <c r="F659" s="207" t="s">
        <v>1272</v>
      </c>
      <c r="G659" s="373"/>
      <c r="H659" s="32" t="s">
        <v>56</v>
      </c>
      <c r="I659" s="32">
        <v>1</v>
      </c>
      <c r="J659" s="32">
        <v>63000</v>
      </c>
      <c r="K659" s="32">
        <f t="shared" si="34"/>
        <v>63000</v>
      </c>
      <c r="L659" s="373"/>
      <c r="M659" s="409"/>
      <c r="N659" s="372"/>
    </row>
    <row r="660" spans="2:14" ht="47.25" x14ac:dyDescent="0.25">
      <c r="B660" s="352"/>
      <c r="C660" s="352"/>
      <c r="D660" s="352"/>
      <c r="E660" s="352"/>
      <c r="F660" s="212" t="s">
        <v>595</v>
      </c>
      <c r="G660" s="27"/>
      <c r="H660" s="32" t="s">
        <v>1192</v>
      </c>
      <c r="I660" s="32">
        <v>700</v>
      </c>
      <c r="J660" s="32">
        <v>886</v>
      </c>
      <c r="K660" s="32">
        <f t="shared" si="34"/>
        <v>620200</v>
      </c>
      <c r="L660" s="355" t="s">
        <v>29</v>
      </c>
      <c r="M660" s="393">
        <f>K660+K661+K662+K663</f>
        <v>1977360</v>
      </c>
      <c r="N660" s="372"/>
    </row>
    <row r="661" spans="2:14" ht="47.25" x14ac:dyDescent="0.25">
      <c r="B661" s="353"/>
      <c r="C661" s="353"/>
      <c r="D661" s="353"/>
      <c r="E661" s="353"/>
      <c r="F661" s="212" t="s">
        <v>596</v>
      </c>
      <c r="G661" s="27"/>
      <c r="H661" s="32" t="s">
        <v>1192</v>
      </c>
      <c r="I661" s="32">
        <v>780</v>
      </c>
      <c r="J661" s="32">
        <v>1086</v>
      </c>
      <c r="K661" s="32">
        <f t="shared" si="34"/>
        <v>847080</v>
      </c>
      <c r="L661" s="364"/>
      <c r="M661" s="408"/>
      <c r="N661" s="372"/>
    </row>
    <row r="662" spans="2:14" ht="47.25" x14ac:dyDescent="0.25">
      <c r="B662" s="353"/>
      <c r="C662" s="353"/>
      <c r="D662" s="353"/>
      <c r="E662" s="353"/>
      <c r="F662" s="212" t="s">
        <v>597</v>
      </c>
      <c r="G662" s="27"/>
      <c r="H662" s="32" t="s">
        <v>1192</v>
      </c>
      <c r="I662" s="32">
        <v>560</v>
      </c>
      <c r="J662" s="32">
        <v>700</v>
      </c>
      <c r="K662" s="32">
        <f t="shared" si="34"/>
        <v>392000</v>
      </c>
      <c r="L662" s="364"/>
      <c r="M662" s="408"/>
      <c r="N662" s="372"/>
    </row>
    <row r="663" spans="2:14" ht="31.5" x14ac:dyDescent="0.25">
      <c r="B663" s="354"/>
      <c r="C663" s="354"/>
      <c r="D663" s="354"/>
      <c r="E663" s="354"/>
      <c r="F663" s="212" t="s">
        <v>1263</v>
      </c>
      <c r="G663" s="120"/>
      <c r="H663" s="32" t="s">
        <v>68</v>
      </c>
      <c r="I663" s="32">
        <v>1440</v>
      </c>
      <c r="J663" s="32">
        <v>82</v>
      </c>
      <c r="K663" s="32">
        <f t="shared" si="34"/>
        <v>118080</v>
      </c>
      <c r="L663" s="365"/>
      <c r="M663" s="394"/>
      <c r="N663" s="2"/>
    </row>
    <row r="664" spans="2:14" ht="15.75" x14ac:dyDescent="0.25">
      <c r="B664" s="352"/>
      <c r="C664" s="352"/>
      <c r="D664" s="352" t="s">
        <v>598</v>
      </c>
      <c r="E664" s="352" t="s">
        <v>599</v>
      </c>
      <c r="F664" s="102" t="s">
        <v>600</v>
      </c>
      <c r="G664" s="355" t="s">
        <v>601</v>
      </c>
      <c r="H664" s="140" t="s">
        <v>23</v>
      </c>
      <c r="I664" s="140">
        <v>10</v>
      </c>
      <c r="J664" s="32">
        <v>2587</v>
      </c>
      <c r="K664" s="32">
        <f t="shared" si="34"/>
        <v>25870</v>
      </c>
      <c r="L664" s="355" t="s">
        <v>29</v>
      </c>
      <c r="M664" s="393">
        <f>SUM(K664:K709)</f>
        <v>2380585</v>
      </c>
      <c r="N664" s="2"/>
    </row>
    <row r="665" spans="2:14" ht="15.75" x14ac:dyDescent="0.25">
      <c r="B665" s="353"/>
      <c r="C665" s="353"/>
      <c r="D665" s="353"/>
      <c r="E665" s="353"/>
      <c r="F665" s="102" t="s">
        <v>602</v>
      </c>
      <c r="G665" s="364"/>
      <c r="H665" s="140" t="s">
        <v>23</v>
      </c>
      <c r="I665" s="140">
        <v>10</v>
      </c>
      <c r="J665" s="32">
        <v>3204</v>
      </c>
      <c r="K665" s="32">
        <f t="shared" ref="K665:K709" si="35">J665*I665</f>
        <v>32040</v>
      </c>
      <c r="L665" s="364"/>
      <c r="M665" s="408"/>
      <c r="N665" s="2"/>
    </row>
    <row r="666" spans="2:14" ht="15.75" x14ac:dyDescent="0.25">
      <c r="B666" s="353"/>
      <c r="C666" s="353"/>
      <c r="D666" s="353"/>
      <c r="E666" s="353"/>
      <c r="F666" s="102" t="s">
        <v>603</v>
      </c>
      <c r="G666" s="364"/>
      <c r="H666" s="140" t="s">
        <v>23</v>
      </c>
      <c r="I666" s="140">
        <v>10</v>
      </c>
      <c r="J666" s="32">
        <v>5247</v>
      </c>
      <c r="K666" s="32">
        <f t="shared" si="35"/>
        <v>52470</v>
      </c>
      <c r="L666" s="364"/>
      <c r="M666" s="408"/>
      <c r="N666" s="2"/>
    </row>
    <row r="667" spans="2:14" ht="15.75" x14ac:dyDescent="0.25">
      <c r="B667" s="353"/>
      <c r="C667" s="353"/>
      <c r="D667" s="353"/>
      <c r="E667" s="353"/>
      <c r="F667" s="102" t="s">
        <v>604</v>
      </c>
      <c r="G667" s="364"/>
      <c r="H667" s="140" t="s">
        <v>23</v>
      </c>
      <c r="I667" s="140">
        <v>10</v>
      </c>
      <c r="J667" s="32">
        <v>8044</v>
      </c>
      <c r="K667" s="32">
        <f t="shared" si="35"/>
        <v>80440</v>
      </c>
      <c r="L667" s="364"/>
      <c r="M667" s="408"/>
      <c r="N667" s="2"/>
    </row>
    <row r="668" spans="2:14" ht="15.75" x14ac:dyDescent="0.25">
      <c r="B668" s="353"/>
      <c r="C668" s="353"/>
      <c r="D668" s="353"/>
      <c r="E668" s="353"/>
      <c r="F668" s="102" t="s">
        <v>605</v>
      </c>
      <c r="G668" s="364"/>
      <c r="H668" s="140" t="s">
        <v>23</v>
      </c>
      <c r="I668" s="140">
        <v>10</v>
      </c>
      <c r="J668" s="32">
        <v>11727</v>
      </c>
      <c r="K668" s="32">
        <f t="shared" si="35"/>
        <v>117270</v>
      </c>
      <c r="L668" s="364"/>
      <c r="M668" s="408"/>
      <c r="N668" s="2"/>
    </row>
    <row r="669" spans="2:14" ht="15.75" x14ac:dyDescent="0.25">
      <c r="B669" s="353"/>
      <c r="C669" s="353"/>
      <c r="D669" s="353"/>
      <c r="E669" s="353"/>
      <c r="F669" s="102" t="s">
        <v>606</v>
      </c>
      <c r="G669" s="364"/>
      <c r="H669" s="140" t="s">
        <v>23</v>
      </c>
      <c r="I669" s="140">
        <v>30</v>
      </c>
      <c r="J669" s="32">
        <v>3390</v>
      </c>
      <c r="K669" s="32">
        <f t="shared" si="35"/>
        <v>101700</v>
      </c>
      <c r="L669" s="364"/>
      <c r="M669" s="408"/>
      <c r="N669" s="2"/>
    </row>
    <row r="670" spans="2:14" ht="15.75" x14ac:dyDescent="0.25">
      <c r="B670" s="353"/>
      <c r="C670" s="353"/>
      <c r="D670" s="353"/>
      <c r="E670" s="353"/>
      <c r="F670" s="102" t="s">
        <v>607</v>
      </c>
      <c r="G670" s="364"/>
      <c r="H670" s="140" t="s">
        <v>23</v>
      </c>
      <c r="I670" s="140">
        <v>20</v>
      </c>
      <c r="J670" s="32">
        <v>3792</v>
      </c>
      <c r="K670" s="32">
        <f t="shared" si="35"/>
        <v>75840</v>
      </c>
      <c r="L670" s="364"/>
      <c r="M670" s="408"/>
      <c r="N670" s="2"/>
    </row>
    <row r="671" spans="2:14" ht="15.75" x14ac:dyDescent="0.25">
      <c r="B671" s="353"/>
      <c r="C671" s="353"/>
      <c r="D671" s="353"/>
      <c r="E671" s="353"/>
      <c r="F671" s="102" t="s">
        <v>608</v>
      </c>
      <c r="G671" s="364"/>
      <c r="H671" s="140" t="s">
        <v>23</v>
      </c>
      <c r="I671" s="140">
        <v>20</v>
      </c>
      <c r="J671" s="32">
        <v>4360</v>
      </c>
      <c r="K671" s="32">
        <f t="shared" si="35"/>
        <v>87200</v>
      </c>
      <c r="L671" s="364"/>
      <c r="M671" s="408"/>
      <c r="N671" s="2"/>
    </row>
    <row r="672" spans="2:14" ht="15.75" x14ac:dyDescent="0.25">
      <c r="B672" s="353"/>
      <c r="C672" s="353"/>
      <c r="D672" s="353"/>
      <c r="E672" s="353"/>
      <c r="F672" s="102" t="s">
        <v>609</v>
      </c>
      <c r="G672" s="364"/>
      <c r="H672" s="140" t="s">
        <v>23</v>
      </c>
      <c r="I672" s="140">
        <v>10</v>
      </c>
      <c r="J672" s="32">
        <v>5540</v>
      </c>
      <c r="K672" s="32">
        <f t="shared" si="35"/>
        <v>55400</v>
      </c>
      <c r="L672" s="364"/>
      <c r="M672" s="408"/>
      <c r="N672" s="2"/>
    </row>
    <row r="673" spans="2:14" ht="15.75" x14ac:dyDescent="0.25">
      <c r="B673" s="353"/>
      <c r="C673" s="353"/>
      <c r="D673" s="353"/>
      <c r="E673" s="353"/>
      <c r="F673" s="102" t="s">
        <v>610</v>
      </c>
      <c r="G673" s="364"/>
      <c r="H673" s="140" t="s">
        <v>23</v>
      </c>
      <c r="I673" s="140">
        <v>10</v>
      </c>
      <c r="J673" s="32">
        <v>6884</v>
      </c>
      <c r="K673" s="32">
        <f t="shared" si="35"/>
        <v>68840</v>
      </c>
      <c r="L673" s="364"/>
      <c r="M673" s="408"/>
      <c r="N673" s="2"/>
    </row>
    <row r="674" spans="2:14" ht="15.75" x14ac:dyDescent="0.25">
      <c r="B674" s="353"/>
      <c r="C674" s="353"/>
      <c r="D674" s="353"/>
      <c r="E674" s="353"/>
      <c r="F674" s="102" t="s">
        <v>611</v>
      </c>
      <c r="G674" s="364"/>
      <c r="H674" s="140" t="s">
        <v>23</v>
      </c>
      <c r="I674" s="140">
        <v>20</v>
      </c>
      <c r="J674" s="32">
        <v>1993</v>
      </c>
      <c r="K674" s="32">
        <f t="shared" si="35"/>
        <v>39860</v>
      </c>
      <c r="L674" s="364"/>
      <c r="M674" s="408"/>
      <c r="N674" s="2"/>
    </row>
    <row r="675" spans="2:14" ht="15.75" x14ac:dyDescent="0.25">
      <c r="B675" s="353"/>
      <c r="C675" s="353"/>
      <c r="D675" s="353"/>
      <c r="E675" s="353"/>
      <c r="F675" s="102" t="s">
        <v>612</v>
      </c>
      <c r="G675" s="364"/>
      <c r="H675" s="140" t="s">
        <v>23</v>
      </c>
      <c r="I675" s="140">
        <v>20</v>
      </c>
      <c r="J675" s="32">
        <v>3990</v>
      </c>
      <c r="K675" s="32">
        <f t="shared" si="35"/>
        <v>79800</v>
      </c>
      <c r="L675" s="364"/>
      <c r="M675" s="408"/>
      <c r="N675" s="2"/>
    </row>
    <row r="676" spans="2:14" ht="15.75" x14ac:dyDescent="0.25">
      <c r="B676" s="353"/>
      <c r="C676" s="353"/>
      <c r="D676" s="353"/>
      <c r="E676" s="353"/>
      <c r="F676" s="102" t="s">
        <v>613</v>
      </c>
      <c r="G676" s="364"/>
      <c r="H676" s="140" t="s">
        <v>23</v>
      </c>
      <c r="I676" s="140">
        <v>10</v>
      </c>
      <c r="J676" s="32">
        <v>12780</v>
      </c>
      <c r="K676" s="32">
        <f t="shared" si="35"/>
        <v>127800</v>
      </c>
      <c r="L676" s="364"/>
      <c r="M676" s="408"/>
      <c r="N676" s="2"/>
    </row>
    <row r="677" spans="2:14" ht="31.5" x14ac:dyDescent="0.25">
      <c r="B677" s="353"/>
      <c r="C677" s="353"/>
      <c r="D677" s="353"/>
      <c r="E677" s="353"/>
      <c r="F677" s="102" t="s">
        <v>614</v>
      </c>
      <c r="G677" s="364"/>
      <c r="H677" s="140" t="s">
        <v>23</v>
      </c>
      <c r="I677" s="140">
        <v>20</v>
      </c>
      <c r="J677" s="32">
        <v>7226</v>
      </c>
      <c r="K677" s="32">
        <f t="shared" si="35"/>
        <v>144520</v>
      </c>
      <c r="L677" s="364"/>
      <c r="M677" s="408"/>
      <c r="N677" s="2"/>
    </row>
    <row r="678" spans="2:14" ht="31.5" x14ac:dyDescent="0.25">
      <c r="B678" s="353"/>
      <c r="C678" s="353"/>
      <c r="D678" s="353"/>
      <c r="E678" s="353"/>
      <c r="F678" s="102" t="s">
        <v>615</v>
      </c>
      <c r="G678" s="364"/>
      <c r="H678" s="140" t="s">
        <v>23</v>
      </c>
      <c r="I678" s="140">
        <v>10</v>
      </c>
      <c r="J678" s="32">
        <v>10873</v>
      </c>
      <c r="K678" s="32">
        <f t="shared" si="35"/>
        <v>108730</v>
      </c>
      <c r="L678" s="364"/>
      <c r="M678" s="408"/>
      <c r="N678" s="2"/>
    </row>
    <row r="679" spans="2:14" ht="31.5" x14ac:dyDescent="0.25">
      <c r="B679" s="353"/>
      <c r="C679" s="353"/>
      <c r="D679" s="353"/>
      <c r="E679" s="353"/>
      <c r="F679" s="102" t="s">
        <v>616</v>
      </c>
      <c r="G679" s="364"/>
      <c r="H679" s="140" t="s">
        <v>23</v>
      </c>
      <c r="I679" s="140">
        <v>2</v>
      </c>
      <c r="J679" s="32">
        <v>42039</v>
      </c>
      <c r="K679" s="32">
        <f t="shared" si="35"/>
        <v>84078</v>
      </c>
      <c r="L679" s="364"/>
      <c r="M679" s="408"/>
      <c r="N679" s="2"/>
    </row>
    <row r="680" spans="2:14" ht="15.75" x14ac:dyDescent="0.25">
      <c r="B680" s="353"/>
      <c r="C680" s="353"/>
      <c r="D680" s="353"/>
      <c r="E680" s="353"/>
      <c r="F680" s="102" t="s">
        <v>617</v>
      </c>
      <c r="G680" s="364"/>
      <c r="H680" s="140" t="s">
        <v>23</v>
      </c>
      <c r="I680" s="140">
        <v>20</v>
      </c>
      <c r="J680" s="32">
        <v>2042</v>
      </c>
      <c r="K680" s="32">
        <f t="shared" si="35"/>
        <v>40840</v>
      </c>
      <c r="L680" s="364"/>
      <c r="M680" s="408"/>
      <c r="N680" s="2"/>
    </row>
    <row r="681" spans="2:14" ht="15.75" x14ac:dyDescent="0.25">
      <c r="B681" s="353"/>
      <c r="C681" s="353"/>
      <c r="D681" s="353"/>
      <c r="E681" s="353"/>
      <c r="F681" s="102" t="s">
        <v>618</v>
      </c>
      <c r="G681" s="364"/>
      <c r="H681" s="140" t="s">
        <v>23</v>
      </c>
      <c r="I681" s="140">
        <v>20</v>
      </c>
      <c r="J681" s="32">
        <v>2875</v>
      </c>
      <c r="K681" s="32">
        <f t="shared" si="35"/>
        <v>57500</v>
      </c>
      <c r="L681" s="364"/>
      <c r="M681" s="408"/>
      <c r="N681" s="2"/>
    </row>
    <row r="682" spans="2:14" ht="15.75" x14ac:dyDescent="0.25">
      <c r="B682" s="353"/>
      <c r="C682" s="353"/>
      <c r="D682" s="353"/>
      <c r="E682" s="353"/>
      <c r="F682" s="102" t="s">
        <v>619</v>
      </c>
      <c r="G682" s="364"/>
      <c r="H682" s="140" t="s">
        <v>23</v>
      </c>
      <c r="I682" s="140">
        <v>30</v>
      </c>
      <c r="J682" s="32">
        <v>2922</v>
      </c>
      <c r="K682" s="32">
        <f t="shared" si="35"/>
        <v>87660</v>
      </c>
      <c r="L682" s="364"/>
      <c r="M682" s="408"/>
      <c r="N682" s="2"/>
    </row>
    <row r="683" spans="2:14" ht="15.75" x14ac:dyDescent="0.25">
      <c r="B683" s="353"/>
      <c r="C683" s="353"/>
      <c r="D683" s="353"/>
      <c r="E683" s="353"/>
      <c r="F683" s="102" t="s">
        <v>620</v>
      </c>
      <c r="G683" s="364"/>
      <c r="H683" s="140" t="s">
        <v>23</v>
      </c>
      <c r="I683" s="140">
        <v>10</v>
      </c>
      <c r="J683" s="32">
        <v>3438</v>
      </c>
      <c r="K683" s="32">
        <f t="shared" si="35"/>
        <v>34380</v>
      </c>
      <c r="L683" s="364"/>
      <c r="M683" s="408"/>
      <c r="N683" s="2"/>
    </row>
    <row r="684" spans="2:14" ht="15.75" x14ac:dyDescent="0.25">
      <c r="B684" s="353"/>
      <c r="C684" s="353"/>
      <c r="D684" s="353"/>
      <c r="E684" s="353"/>
      <c r="F684" s="102" t="s">
        <v>621</v>
      </c>
      <c r="G684" s="364"/>
      <c r="H684" s="140" t="s">
        <v>23</v>
      </c>
      <c r="I684" s="140">
        <v>10</v>
      </c>
      <c r="J684" s="32">
        <v>8252</v>
      </c>
      <c r="K684" s="32">
        <f t="shared" si="35"/>
        <v>82520</v>
      </c>
      <c r="L684" s="364"/>
      <c r="M684" s="408"/>
      <c r="N684" s="2"/>
    </row>
    <row r="685" spans="2:14" ht="15.75" x14ac:dyDescent="0.25">
      <c r="B685" s="353"/>
      <c r="C685" s="353"/>
      <c r="D685" s="353"/>
      <c r="E685" s="353"/>
      <c r="F685" s="102" t="s">
        <v>622</v>
      </c>
      <c r="G685" s="364"/>
      <c r="H685" s="140" t="s">
        <v>23</v>
      </c>
      <c r="I685" s="140">
        <v>10</v>
      </c>
      <c r="J685" s="32">
        <v>15343</v>
      </c>
      <c r="K685" s="32">
        <f t="shared" si="35"/>
        <v>153430</v>
      </c>
      <c r="L685" s="364"/>
      <c r="M685" s="408"/>
      <c r="N685" s="2"/>
    </row>
    <row r="686" spans="2:14" ht="15.75" x14ac:dyDescent="0.25">
      <c r="B686" s="353"/>
      <c r="C686" s="353"/>
      <c r="D686" s="353"/>
      <c r="E686" s="353"/>
      <c r="F686" s="102" t="s">
        <v>1022</v>
      </c>
      <c r="G686" s="364"/>
      <c r="H686" s="140" t="s">
        <v>23</v>
      </c>
      <c r="I686" s="140">
        <v>10</v>
      </c>
      <c r="J686" s="32">
        <v>11592</v>
      </c>
      <c r="K686" s="32">
        <f t="shared" si="35"/>
        <v>115920</v>
      </c>
      <c r="L686" s="364"/>
      <c r="M686" s="408"/>
      <c r="N686" s="2"/>
    </row>
    <row r="687" spans="2:14" ht="15.75" x14ac:dyDescent="0.25">
      <c r="B687" s="353"/>
      <c r="C687" s="353"/>
      <c r="D687" s="353"/>
      <c r="E687" s="353"/>
      <c r="F687" s="102" t="s">
        <v>1023</v>
      </c>
      <c r="G687" s="364"/>
      <c r="H687" s="140" t="s">
        <v>23</v>
      </c>
      <c r="I687" s="140">
        <v>6</v>
      </c>
      <c r="J687" s="32">
        <v>35381</v>
      </c>
      <c r="K687" s="32">
        <f t="shared" si="35"/>
        <v>212286</v>
      </c>
      <c r="L687" s="364"/>
      <c r="M687" s="408"/>
      <c r="N687" s="2"/>
    </row>
    <row r="688" spans="2:14" ht="15.75" x14ac:dyDescent="0.25">
      <c r="B688" s="353"/>
      <c r="C688" s="353"/>
      <c r="D688" s="353"/>
      <c r="E688" s="353"/>
      <c r="F688" s="102" t="s">
        <v>623</v>
      </c>
      <c r="G688" s="364"/>
      <c r="H688" s="140" t="s">
        <v>23</v>
      </c>
      <c r="I688" s="140">
        <v>10</v>
      </c>
      <c r="J688" s="32">
        <v>165</v>
      </c>
      <c r="K688" s="32">
        <f t="shared" si="35"/>
        <v>1650</v>
      </c>
      <c r="L688" s="364"/>
      <c r="M688" s="408"/>
      <c r="N688" s="2"/>
    </row>
    <row r="689" spans="2:14" ht="15.75" x14ac:dyDescent="0.25">
      <c r="B689" s="353"/>
      <c r="C689" s="353"/>
      <c r="D689" s="353"/>
      <c r="E689" s="353"/>
      <c r="F689" s="102" t="s">
        <v>624</v>
      </c>
      <c r="G689" s="364"/>
      <c r="H689" s="140" t="s">
        <v>23</v>
      </c>
      <c r="I689" s="140">
        <v>40</v>
      </c>
      <c r="J689" s="32">
        <v>447</v>
      </c>
      <c r="K689" s="32">
        <f t="shared" si="35"/>
        <v>17880</v>
      </c>
      <c r="L689" s="364"/>
      <c r="M689" s="408"/>
      <c r="N689" s="2"/>
    </row>
    <row r="690" spans="2:14" ht="15.75" x14ac:dyDescent="0.25">
      <c r="B690" s="353"/>
      <c r="C690" s="353"/>
      <c r="D690" s="353"/>
      <c r="E690" s="353"/>
      <c r="F690" s="102" t="s">
        <v>625</v>
      </c>
      <c r="G690" s="364"/>
      <c r="H690" s="140" t="s">
        <v>23</v>
      </c>
      <c r="I690" s="140">
        <v>30</v>
      </c>
      <c r="J690" s="32">
        <v>838</v>
      </c>
      <c r="K690" s="32">
        <f t="shared" si="35"/>
        <v>25140</v>
      </c>
      <c r="L690" s="364"/>
      <c r="M690" s="408"/>
      <c r="N690" s="2"/>
    </row>
    <row r="691" spans="2:14" ht="15.75" x14ac:dyDescent="0.25">
      <c r="B691" s="353"/>
      <c r="C691" s="353"/>
      <c r="D691" s="353"/>
      <c r="E691" s="353"/>
      <c r="F691" s="102" t="s">
        <v>626</v>
      </c>
      <c r="G691" s="364"/>
      <c r="H691" s="140" t="s">
        <v>23</v>
      </c>
      <c r="I691" s="140">
        <v>20</v>
      </c>
      <c r="J691" s="32">
        <v>1567</v>
      </c>
      <c r="K691" s="32">
        <f>J691*I691</f>
        <v>31340</v>
      </c>
      <c r="L691" s="364"/>
      <c r="M691" s="408"/>
      <c r="N691" s="2"/>
    </row>
    <row r="692" spans="2:14" ht="15.75" x14ac:dyDescent="0.25">
      <c r="B692" s="353"/>
      <c r="C692" s="353"/>
      <c r="D692" s="353"/>
      <c r="E692" s="353"/>
      <c r="F692" s="102" t="s">
        <v>627</v>
      </c>
      <c r="G692" s="364"/>
      <c r="H692" s="140" t="s">
        <v>23</v>
      </c>
      <c r="I692" s="140">
        <v>20</v>
      </c>
      <c r="J692" s="32">
        <v>2724</v>
      </c>
      <c r="K692" s="32">
        <f t="shared" si="35"/>
        <v>54480</v>
      </c>
      <c r="L692" s="364"/>
      <c r="M692" s="408"/>
      <c r="N692" s="2"/>
    </row>
    <row r="693" spans="2:14" ht="15.75" x14ac:dyDescent="0.25">
      <c r="B693" s="353"/>
      <c r="C693" s="353"/>
      <c r="D693" s="353"/>
      <c r="E693" s="353"/>
      <c r="F693" s="102" t="s">
        <v>628</v>
      </c>
      <c r="G693" s="364"/>
      <c r="H693" s="140" t="s">
        <v>23</v>
      </c>
      <c r="I693" s="140">
        <v>8</v>
      </c>
      <c r="J693" s="32">
        <v>4762</v>
      </c>
      <c r="K693" s="32">
        <f t="shared" si="35"/>
        <v>38096</v>
      </c>
      <c r="L693" s="364"/>
      <c r="M693" s="408"/>
      <c r="N693" s="2"/>
    </row>
    <row r="694" spans="2:14" ht="15.75" x14ac:dyDescent="0.25">
      <c r="B694" s="353"/>
      <c r="C694" s="353"/>
      <c r="D694" s="353"/>
      <c r="E694" s="353"/>
      <c r="F694" s="102" t="s">
        <v>1024</v>
      </c>
      <c r="G694" s="364"/>
      <c r="H694" s="140" t="s">
        <v>23</v>
      </c>
      <c r="I694" s="140">
        <v>30</v>
      </c>
      <c r="J694" s="32">
        <v>192</v>
      </c>
      <c r="K694" s="32">
        <f t="shared" si="35"/>
        <v>5760</v>
      </c>
      <c r="L694" s="364"/>
      <c r="M694" s="408"/>
      <c r="N694" s="2"/>
    </row>
    <row r="695" spans="2:14" ht="15.75" x14ac:dyDescent="0.25">
      <c r="B695" s="353"/>
      <c r="C695" s="353"/>
      <c r="D695" s="353"/>
      <c r="E695" s="353"/>
      <c r="F695" s="242" t="s">
        <v>632</v>
      </c>
      <c r="G695" s="364"/>
      <c r="H695" s="140" t="s">
        <v>23</v>
      </c>
      <c r="I695" s="140">
        <v>80</v>
      </c>
      <c r="J695" s="32">
        <v>24</v>
      </c>
      <c r="K695" s="32">
        <f t="shared" si="35"/>
        <v>1920</v>
      </c>
      <c r="L695" s="364"/>
      <c r="M695" s="408"/>
      <c r="N695" s="2"/>
    </row>
    <row r="696" spans="2:14" ht="15.75" x14ac:dyDescent="0.25">
      <c r="B696" s="353"/>
      <c r="C696" s="353"/>
      <c r="D696" s="353"/>
      <c r="E696" s="353"/>
      <c r="F696" s="102" t="s">
        <v>1025</v>
      </c>
      <c r="G696" s="364"/>
      <c r="H696" s="140" t="s">
        <v>23</v>
      </c>
      <c r="I696" s="140">
        <v>30</v>
      </c>
      <c r="J696" s="32">
        <v>330</v>
      </c>
      <c r="K696" s="32">
        <f t="shared" si="35"/>
        <v>9900</v>
      </c>
      <c r="L696" s="364"/>
      <c r="M696" s="408"/>
      <c r="N696" s="2"/>
    </row>
    <row r="697" spans="2:14" ht="15.75" x14ac:dyDescent="0.25">
      <c r="B697" s="353"/>
      <c r="C697" s="353"/>
      <c r="D697" s="353"/>
      <c r="E697" s="353"/>
      <c r="F697" s="213" t="s">
        <v>1026</v>
      </c>
      <c r="G697" s="364"/>
      <c r="H697" s="140" t="s">
        <v>23</v>
      </c>
      <c r="I697" s="140">
        <v>40</v>
      </c>
      <c r="J697" s="32">
        <v>160</v>
      </c>
      <c r="K697" s="32">
        <f t="shared" si="35"/>
        <v>6400</v>
      </c>
      <c r="L697" s="364"/>
      <c r="M697" s="408"/>
      <c r="N697" s="2"/>
    </row>
    <row r="698" spans="2:14" ht="15.75" x14ac:dyDescent="0.25">
      <c r="B698" s="353"/>
      <c r="C698" s="353"/>
      <c r="D698" s="353"/>
      <c r="E698" s="353"/>
      <c r="F698" s="213" t="s">
        <v>629</v>
      </c>
      <c r="G698" s="364"/>
      <c r="H698" s="140" t="s">
        <v>23</v>
      </c>
      <c r="I698" s="140">
        <v>40</v>
      </c>
      <c r="J698" s="32">
        <v>203</v>
      </c>
      <c r="K698" s="32">
        <f t="shared" si="35"/>
        <v>8120</v>
      </c>
      <c r="L698" s="364"/>
      <c r="M698" s="408"/>
      <c r="N698" s="2"/>
    </row>
    <row r="699" spans="2:14" ht="15.75" x14ac:dyDescent="0.25">
      <c r="B699" s="353"/>
      <c r="C699" s="353"/>
      <c r="D699" s="353"/>
      <c r="E699" s="353"/>
      <c r="F699" s="213" t="s">
        <v>630</v>
      </c>
      <c r="G699" s="364"/>
      <c r="H699" s="140" t="s">
        <v>23</v>
      </c>
      <c r="I699" s="140">
        <v>40</v>
      </c>
      <c r="J699" s="32">
        <v>250</v>
      </c>
      <c r="K699" s="32">
        <f t="shared" si="35"/>
        <v>10000</v>
      </c>
      <c r="L699" s="364"/>
      <c r="M699" s="408"/>
      <c r="N699" s="2"/>
    </row>
    <row r="700" spans="2:14" ht="15.75" x14ac:dyDescent="0.25">
      <c r="B700" s="353"/>
      <c r="C700" s="353"/>
      <c r="D700" s="353"/>
      <c r="E700" s="353"/>
      <c r="F700" s="213" t="s">
        <v>631</v>
      </c>
      <c r="G700" s="364"/>
      <c r="H700" s="140" t="s">
        <v>23</v>
      </c>
      <c r="I700" s="140">
        <v>40</v>
      </c>
      <c r="J700" s="32">
        <v>510</v>
      </c>
      <c r="K700" s="32">
        <f t="shared" si="35"/>
        <v>20400</v>
      </c>
      <c r="L700" s="364"/>
      <c r="M700" s="408"/>
      <c r="N700" s="2"/>
    </row>
    <row r="701" spans="2:14" ht="15.75" x14ac:dyDescent="0.25">
      <c r="B701" s="353"/>
      <c r="C701" s="353"/>
      <c r="D701" s="353"/>
      <c r="E701" s="353"/>
      <c r="F701" s="242" t="s">
        <v>632</v>
      </c>
      <c r="G701" s="364"/>
      <c r="H701" s="140" t="s">
        <v>23</v>
      </c>
      <c r="I701" s="140">
        <v>50</v>
      </c>
      <c r="J701" s="32">
        <v>24</v>
      </c>
      <c r="K701" s="32">
        <f t="shared" si="35"/>
        <v>1200</v>
      </c>
      <c r="L701" s="364"/>
      <c r="M701" s="408"/>
      <c r="N701" s="2"/>
    </row>
    <row r="702" spans="2:14" ht="15.75" x14ac:dyDescent="0.25">
      <c r="B702" s="353"/>
      <c r="C702" s="353"/>
      <c r="D702" s="353"/>
      <c r="E702" s="353"/>
      <c r="F702" s="242" t="s">
        <v>555</v>
      </c>
      <c r="G702" s="364"/>
      <c r="H702" s="140" t="s">
        <v>23</v>
      </c>
      <c r="I702" s="140">
        <v>50</v>
      </c>
      <c r="J702" s="32">
        <v>24</v>
      </c>
      <c r="K702" s="32">
        <f t="shared" si="35"/>
        <v>1200</v>
      </c>
      <c r="L702" s="364"/>
      <c r="M702" s="408"/>
      <c r="N702" s="2"/>
    </row>
    <row r="703" spans="2:14" ht="15.75" x14ac:dyDescent="0.25">
      <c r="B703" s="353"/>
      <c r="C703" s="353"/>
      <c r="D703" s="353"/>
      <c r="E703" s="353"/>
      <c r="F703" s="102" t="s">
        <v>633</v>
      </c>
      <c r="G703" s="364"/>
      <c r="H703" s="140" t="s">
        <v>23</v>
      </c>
      <c r="I703" s="140">
        <v>25</v>
      </c>
      <c r="J703" s="32">
        <v>360</v>
      </c>
      <c r="K703" s="32">
        <f t="shared" si="35"/>
        <v>9000</v>
      </c>
      <c r="L703" s="364"/>
      <c r="M703" s="408"/>
      <c r="N703" s="2"/>
    </row>
    <row r="704" spans="2:14" ht="15.75" x14ac:dyDescent="0.25">
      <c r="B704" s="353"/>
      <c r="C704" s="353"/>
      <c r="D704" s="353"/>
      <c r="E704" s="353"/>
      <c r="F704" s="102" t="s">
        <v>1036</v>
      </c>
      <c r="G704" s="364"/>
      <c r="H704" s="140" t="s">
        <v>23</v>
      </c>
      <c r="I704" s="140">
        <v>20</v>
      </c>
      <c r="J704" s="32">
        <v>1298</v>
      </c>
      <c r="K704" s="32">
        <f t="shared" si="35"/>
        <v>25960</v>
      </c>
      <c r="L704" s="364"/>
      <c r="M704" s="408"/>
      <c r="N704" s="2"/>
    </row>
    <row r="705" spans="2:14" ht="15.75" x14ac:dyDescent="0.25">
      <c r="B705" s="353"/>
      <c r="C705" s="353"/>
      <c r="D705" s="353"/>
      <c r="E705" s="353"/>
      <c r="F705" s="102" t="s">
        <v>1035</v>
      </c>
      <c r="G705" s="364"/>
      <c r="H705" s="140" t="s">
        <v>23</v>
      </c>
      <c r="I705" s="140">
        <v>25</v>
      </c>
      <c r="J705" s="32">
        <v>553</v>
      </c>
      <c r="K705" s="32">
        <f t="shared" si="35"/>
        <v>13825</v>
      </c>
      <c r="L705" s="364"/>
      <c r="M705" s="408"/>
      <c r="N705" s="2"/>
    </row>
    <row r="706" spans="2:14" ht="15.75" x14ac:dyDescent="0.25">
      <c r="B706" s="353"/>
      <c r="C706" s="353"/>
      <c r="D706" s="353"/>
      <c r="E706" s="353"/>
      <c r="F706" s="102" t="s">
        <v>634</v>
      </c>
      <c r="G706" s="364"/>
      <c r="H706" s="140" t="s">
        <v>23</v>
      </c>
      <c r="I706" s="140">
        <v>25</v>
      </c>
      <c r="J706" s="32">
        <v>928</v>
      </c>
      <c r="K706" s="32">
        <f t="shared" si="35"/>
        <v>23200</v>
      </c>
      <c r="L706" s="364"/>
      <c r="M706" s="408"/>
      <c r="N706" s="2"/>
    </row>
    <row r="707" spans="2:14" ht="15.75" x14ac:dyDescent="0.25">
      <c r="B707" s="353"/>
      <c r="C707" s="353"/>
      <c r="D707" s="353"/>
      <c r="E707" s="353"/>
      <c r="F707" s="242" t="s">
        <v>549</v>
      </c>
      <c r="G707" s="364"/>
      <c r="H707" s="140" t="s">
        <v>23</v>
      </c>
      <c r="I707" s="140">
        <v>40</v>
      </c>
      <c r="J707" s="32">
        <v>98</v>
      </c>
      <c r="K707" s="32">
        <f t="shared" si="35"/>
        <v>3920</v>
      </c>
      <c r="L707" s="364"/>
      <c r="M707" s="408"/>
      <c r="N707" s="2"/>
    </row>
    <row r="708" spans="2:14" ht="15.75" x14ac:dyDescent="0.25">
      <c r="B708" s="353"/>
      <c r="C708" s="353"/>
      <c r="D708" s="353"/>
      <c r="E708" s="353"/>
      <c r="F708" s="242" t="s">
        <v>635</v>
      </c>
      <c r="G708" s="364"/>
      <c r="H708" s="140" t="s">
        <v>23</v>
      </c>
      <c r="I708" s="140">
        <v>40</v>
      </c>
      <c r="J708" s="32">
        <v>72</v>
      </c>
      <c r="K708" s="32">
        <f t="shared" si="35"/>
        <v>2880</v>
      </c>
      <c r="L708" s="364"/>
      <c r="M708" s="408"/>
      <c r="N708" s="2"/>
    </row>
    <row r="709" spans="2:14" ht="15.75" x14ac:dyDescent="0.25">
      <c r="B709" s="354"/>
      <c r="C709" s="354"/>
      <c r="D709" s="354"/>
      <c r="E709" s="354"/>
      <c r="F709" s="242" t="s">
        <v>636</v>
      </c>
      <c r="G709" s="365"/>
      <c r="H709" s="140" t="s">
        <v>23</v>
      </c>
      <c r="I709" s="140">
        <v>40</v>
      </c>
      <c r="J709" s="32">
        <v>48</v>
      </c>
      <c r="K709" s="32">
        <f t="shared" si="35"/>
        <v>1920</v>
      </c>
      <c r="L709" s="365"/>
      <c r="M709" s="394"/>
      <c r="N709" s="2"/>
    </row>
    <row r="710" spans="2:14" ht="18.75" x14ac:dyDescent="0.3">
      <c r="B710" s="349" t="s">
        <v>17</v>
      </c>
      <c r="C710" s="350"/>
      <c r="D710" s="350"/>
      <c r="E710" s="350"/>
      <c r="F710" s="350"/>
      <c r="G710" s="351"/>
      <c r="H710" s="74"/>
      <c r="I710" s="74"/>
      <c r="J710" s="74"/>
      <c r="K710" s="79">
        <f>SUM(K586:K709)</f>
        <v>7491749</v>
      </c>
      <c r="L710" s="74"/>
      <c r="M710" s="79">
        <f>SUM(M586:M709)</f>
        <v>7491749</v>
      </c>
      <c r="N710" s="74"/>
    </row>
    <row r="711" spans="2:14" ht="18.75" x14ac:dyDescent="0.3">
      <c r="B711" s="407" t="s">
        <v>15</v>
      </c>
      <c r="C711" s="407"/>
      <c r="D711" s="407"/>
      <c r="E711" s="407"/>
      <c r="F711" s="407"/>
      <c r="G711" s="407"/>
      <c r="H711" s="407"/>
      <c r="I711" s="407"/>
      <c r="J711" s="407"/>
      <c r="K711" s="407"/>
      <c r="L711" s="407"/>
      <c r="M711" s="407"/>
      <c r="N711" s="407"/>
    </row>
    <row r="712" spans="2:14" ht="23.25" customHeight="1" x14ac:dyDescent="0.25">
      <c r="B712" s="2"/>
      <c r="C712" s="2" t="s">
        <v>38</v>
      </c>
      <c r="D712" s="32" t="s">
        <v>637</v>
      </c>
      <c r="E712" s="32" t="s">
        <v>638</v>
      </c>
      <c r="F712" s="214" t="s">
        <v>639</v>
      </c>
      <c r="G712" s="32"/>
      <c r="H712" s="32" t="s">
        <v>23</v>
      </c>
      <c r="I712" s="32">
        <v>1</v>
      </c>
      <c r="J712" s="32">
        <v>10780</v>
      </c>
      <c r="K712" s="32">
        <f t="shared" ref="K712:K725" si="36">J712*I712</f>
        <v>10780</v>
      </c>
      <c r="L712" s="373" t="s">
        <v>29</v>
      </c>
      <c r="M712" s="355">
        <f>SUM(K712:K720)</f>
        <v>118610</v>
      </c>
      <c r="N712" s="2"/>
    </row>
    <row r="713" spans="2:14" ht="31.5" x14ac:dyDescent="0.25">
      <c r="B713" s="2"/>
      <c r="C713" s="2" t="s">
        <v>38</v>
      </c>
      <c r="D713" s="32" t="s">
        <v>640</v>
      </c>
      <c r="E713" s="32" t="s">
        <v>641</v>
      </c>
      <c r="F713" s="185" t="s">
        <v>642</v>
      </c>
      <c r="G713" s="32"/>
      <c r="H713" s="32" t="s">
        <v>23</v>
      </c>
      <c r="I713" s="32">
        <v>2</v>
      </c>
      <c r="J713" s="32">
        <v>28513</v>
      </c>
      <c r="K713" s="32">
        <f t="shared" si="36"/>
        <v>57026</v>
      </c>
      <c r="L713" s="373"/>
      <c r="M713" s="364"/>
      <c r="N713" s="2"/>
    </row>
    <row r="714" spans="2:14" ht="31.5" x14ac:dyDescent="0.25">
      <c r="B714" s="2"/>
      <c r="C714" s="2" t="s">
        <v>38</v>
      </c>
      <c r="D714" s="32" t="s">
        <v>643</v>
      </c>
      <c r="E714" s="32" t="s">
        <v>644</v>
      </c>
      <c r="F714" s="214" t="s">
        <v>645</v>
      </c>
      <c r="G714" s="32"/>
      <c r="H714" s="32" t="s">
        <v>134</v>
      </c>
      <c r="I714" s="32">
        <v>2</v>
      </c>
      <c r="J714" s="32">
        <v>3235</v>
      </c>
      <c r="K714" s="32">
        <f t="shared" si="36"/>
        <v>6470</v>
      </c>
      <c r="L714" s="373"/>
      <c r="M714" s="364"/>
      <c r="N714" s="2"/>
    </row>
    <row r="715" spans="2:14" ht="15.75" x14ac:dyDescent="0.25">
      <c r="B715" s="352"/>
      <c r="C715" s="352"/>
      <c r="D715" s="355" t="s">
        <v>646</v>
      </c>
      <c r="E715" s="355" t="s">
        <v>647</v>
      </c>
      <c r="F715" s="214" t="s">
        <v>648</v>
      </c>
      <c r="G715" s="32"/>
      <c r="H715" s="32" t="s">
        <v>23</v>
      </c>
      <c r="I715" s="32">
        <v>3</v>
      </c>
      <c r="J715" s="32">
        <v>4125</v>
      </c>
      <c r="K715" s="32">
        <f t="shared" si="36"/>
        <v>12375</v>
      </c>
      <c r="L715" s="373"/>
      <c r="M715" s="364"/>
      <c r="N715" s="352"/>
    </row>
    <row r="716" spans="2:14" ht="15.75" x14ac:dyDescent="0.25">
      <c r="B716" s="353"/>
      <c r="C716" s="353"/>
      <c r="D716" s="364"/>
      <c r="E716" s="364"/>
      <c r="F716" s="214" t="s">
        <v>649</v>
      </c>
      <c r="G716" s="32"/>
      <c r="H716" s="32" t="s">
        <v>23</v>
      </c>
      <c r="I716" s="32">
        <v>3</v>
      </c>
      <c r="J716" s="32">
        <v>2837</v>
      </c>
      <c r="K716" s="32">
        <f t="shared" si="36"/>
        <v>8511</v>
      </c>
      <c r="L716" s="373"/>
      <c r="M716" s="364"/>
      <c r="N716" s="353"/>
    </row>
    <row r="717" spans="2:14" ht="15.75" x14ac:dyDescent="0.25">
      <c r="B717" s="353"/>
      <c r="C717" s="353"/>
      <c r="D717" s="364"/>
      <c r="E717" s="364"/>
      <c r="F717" s="214" t="s">
        <v>650</v>
      </c>
      <c r="G717" s="32"/>
      <c r="H717" s="32" t="s">
        <v>23</v>
      </c>
      <c r="I717" s="32">
        <v>3</v>
      </c>
      <c r="J717" s="32">
        <v>2576</v>
      </c>
      <c r="K717" s="32">
        <f t="shared" si="36"/>
        <v>7728</v>
      </c>
      <c r="L717" s="373"/>
      <c r="M717" s="364"/>
      <c r="N717" s="353"/>
    </row>
    <row r="718" spans="2:14" ht="15.75" x14ac:dyDescent="0.25">
      <c r="B718" s="353"/>
      <c r="C718" s="353"/>
      <c r="D718" s="364"/>
      <c r="E718" s="364"/>
      <c r="F718" s="214" t="s">
        <v>651</v>
      </c>
      <c r="G718" s="32"/>
      <c r="H718" s="32" t="s">
        <v>23</v>
      </c>
      <c r="I718" s="32">
        <v>3</v>
      </c>
      <c r="J718" s="32">
        <v>1145</v>
      </c>
      <c r="K718" s="32">
        <f t="shared" si="36"/>
        <v>3435</v>
      </c>
      <c r="L718" s="373"/>
      <c r="M718" s="364"/>
      <c r="N718" s="353"/>
    </row>
    <row r="719" spans="2:14" ht="15.75" x14ac:dyDescent="0.25">
      <c r="B719" s="353"/>
      <c r="C719" s="353"/>
      <c r="D719" s="364"/>
      <c r="E719" s="364"/>
      <c r="F719" s="214" t="s">
        <v>652</v>
      </c>
      <c r="G719" s="32"/>
      <c r="H719" s="32" t="s">
        <v>23</v>
      </c>
      <c r="I719" s="32">
        <v>3</v>
      </c>
      <c r="J719" s="32">
        <v>1341</v>
      </c>
      <c r="K719" s="32">
        <f t="shared" si="36"/>
        <v>4023</v>
      </c>
      <c r="L719" s="373"/>
      <c r="M719" s="364"/>
      <c r="N719" s="353"/>
    </row>
    <row r="720" spans="2:14" ht="15.75" x14ac:dyDescent="0.25">
      <c r="B720" s="354"/>
      <c r="C720" s="354"/>
      <c r="D720" s="365"/>
      <c r="E720" s="365"/>
      <c r="F720" s="214" t="s">
        <v>653</v>
      </c>
      <c r="G720" s="32"/>
      <c r="H720" s="32" t="s">
        <v>23</v>
      </c>
      <c r="I720" s="32">
        <v>3</v>
      </c>
      <c r="J720" s="32">
        <v>2754</v>
      </c>
      <c r="K720" s="32">
        <f t="shared" si="36"/>
        <v>8262</v>
      </c>
      <c r="L720" s="373"/>
      <c r="M720" s="365"/>
      <c r="N720" s="354"/>
    </row>
    <row r="721" spans="2:14" ht="15.75" x14ac:dyDescent="0.25">
      <c r="B721" s="352"/>
      <c r="C721" s="352"/>
      <c r="D721" s="355" t="s">
        <v>654</v>
      </c>
      <c r="E721" s="355" t="s">
        <v>655</v>
      </c>
      <c r="F721" s="185" t="s">
        <v>656</v>
      </c>
      <c r="G721" s="32"/>
      <c r="H721" s="32" t="s">
        <v>23</v>
      </c>
      <c r="I721" s="32">
        <v>1</v>
      </c>
      <c r="J721" s="32">
        <f>103998</f>
        <v>103998</v>
      </c>
      <c r="K721" s="32">
        <f t="shared" si="36"/>
        <v>103998</v>
      </c>
      <c r="L721" s="373" t="s">
        <v>29</v>
      </c>
      <c r="M721" s="355">
        <f>SUM(K721:K725)</f>
        <v>492796</v>
      </c>
      <c r="N721" s="352"/>
    </row>
    <row r="722" spans="2:14" ht="15.75" x14ac:dyDescent="0.25">
      <c r="B722" s="354"/>
      <c r="C722" s="354"/>
      <c r="D722" s="365"/>
      <c r="E722" s="365"/>
      <c r="F722" s="185" t="s">
        <v>657</v>
      </c>
      <c r="G722" s="32"/>
      <c r="H722" s="32" t="s">
        <v>23</v>
      </c>
      <c r="I722" s="32">
        <v>1</v>
      </c>
      <c r="J722" s="32">
        <v>188498</v>
      </c>
      <c r="K722" s="32">
        <f t="shared" si="36"/>
        <v>188498</v>
      </c>
      <c r="L722" s="373"/>
      <c r="M722" s="364"/>
      <c r="N722" s="354"/>
    </row>
    <row r="723" spans="2:14" ht="15.75" x14ac:dyDescent="0.25">
      <c r="B723" s="352"/>
      <c r="C723" s="352"/>
      <c r="D723" s="355" t="s">
        <v>326</v>
      </c>
      <c r="E723" s="355" t="s">
        <v>658</v>
      </c>
      <c r="F723" s="185" t="s">
        <v>659</v>
      </c>
      <c r="G723" s="355" t="s">
        <v>310</v>
      </c>
      <c r="H723" s="32" t="s">
        <v>23</v>
      </c>
      <c r="I723" s="32">
        <v>1</v>
      </c>
      <c r="J723" s="32">
        <v>25350</v>
      </c>
      <c r="K723" s="32">
        <f t="shared" si="36"/>
        <v>25350</v>
      </c>
      <c r="L723" s="373"/>
      <c r="M723" s="364"/>
      <c r="N723" s="352"/>
    </row>
    <row r="724" spans="2:14" ht="15.75" x14ac:dyDescent="0.25">
      <c r="B724" s="353"/>
      <c r="C724" s="353"/>
      <c r="D724" s="364"/>
      <c r="E724" s="364"/>
      <c r="F724" s="185" t="s">
        <v>659</v>
      </c>
      <c r="G724" s="364"/>
      <c r="H724" s="32" t="s">
        <v>23</v>
      </c>
      <c r="I724" s="32">
        <v>1</v>
      </c>
      <c r="J724" s="32">
        <v>25350</v>
      </c>
      <c r="K724" s="32">
        <f t="shared" si="36"/>
        <v>25350</v>
      </c>
      <c r="L724" s="373"/>
      <c r="M724" s="364"/>
      <c r="N724" s="353"/>
    </row>
    <row r="725" spans="2:14" ht="15.75" x14ac:dyDescent="0.25">
      <c r="B725" s="354"/>
      <c r="C725" s="354"/>
      <c r="D725" s="365"/>
      <c r="E725" s="365"/>
      <c r="F725" s="185" t="s">
        <v>660</v>
      </c>
      <c r="G725" s="365"/>
      <c r="H725" s="32" t="s">
        <v>23</v>
      </c>
      <c r="I725" s="32">
        <v>2</v>
      </c>
      <c r="J725" s="32">
        <v>74800</v>
      </c>
      <c r="K725" s="32">
        <f t="shared" si="36"/>
        <v>149600</v>
      </c>
      <c r="L725" s="373"/>
      <c r="M725" s="365"/>
      <c r="N725" s="354"/>
    </row>
    <row r="726" spans="2:14" ht="15.75" x14ac:dyDescent="0.25">
      <c r="B726" s="352"/>
      <c r="C726" s="352" t="s">
        <v>38</v>
      </c>
      <c r="D726" s="352" t="s">
        <v>511</v>
      </c>
      <c r="E726" s="352" t="s">
        <v>661</v>
      </c>
      <c r="F726" s="224" t="s">
        <v>662</v>
      </c>
      <c r="G726" s="132"/>
      <c r="H726" s="32" t="s">
        <v>23</v>
      </c>
      <c r="I726" s="32">
        <v>4</v>
      </c>
      <c r="J726" s="32">
        <v>2079</v>
      </c>
      <c r="K726" s="32">
        <f t="shared" ref="K726:K751" si="37">J726*I726</f>
        <v>8316</v>
      </c>
      <c r="L726" s="355"/>
      <c r="M726" s="355">
        <f>SUM(K726:K751)</f>
        <v>155564</v>
      </c>
      <c r="N726" s="63"/>
    </row>
    <row r="727" spans="2:14" ht="15.75" x14ac:dyDescent="0.25">
      <c r="B727" s="353"/>
      <c r="C727" s="353"/>
      <c r="D727" s="354"/>
      <c r="E727" s="353"/>
      <c r="F727" s="224" t="s">
        <v>663</v>
      </c>
      <c r="G727" s="132"/>
      <c r="H727" s="32" t="s">
        <v>23</v>
      </c>
      <c r="I727" s="32">
        <v>4</v>
      </c>
      <c r="J727" s="32">
        <v>966</v>
      </c>
      <c r="K727" s="32">
        <f t="shared" si="37"/>
        <v>3864</v>
      </c>
      <c r="L727" s="364"/>
      <c r="M727" s="364"/>
      <c r="N727" s="63"/>
    </row>
    <row r="728" spans="2:14" ht="15.75" x14ac:dyDescent="0.25">
      <c r="B728" s="353"/>
      <c r="C728" s="353"/>
      <c r="D728" s="352" t="s">
        <v>515</v>
      </c>
      <c r="E728" s="353"/>
      <c r="F728" s="224" t="s">
        <v>664</v>
      </c>
      <c r="G728" s="132"/>
      <c r="H728" s="32" t="s">
        <v>23</v>
      </c>
      <c r="I728" s="32">
        <v>4</v>
      </c>
      <c r="J728" s="32">
        <v>1521</v>
      </c>
      <c r="K728" s="32">
        <f t="shared" si="37"/>
        <v>6084</v>
      </c>
      <c r="L728" s="364"/>
      <c r="M728" s="364"/>
      <c r="N728" s="63"/>
    </row>
    <row r="729" spans="2:14" ht="15.75" x14ac:dyDescent="0.25">
      <c r="B729" s="353"/>
      <c r="C729" s="353"/>
      <c r="D729" s="354"/>
      <c r="E729" s="353"/>
      <c r="F729" s="224" t="s">
        <v>665</v>
      </c>
      <c r="G729" s="132"/>
      <c r="H729" s="32" t="s">
        <v>23</v>
      </c>
      <c r="I729" s="32">
        <v>4</v>
      </c>
      <c r="J729" s="32">
        <v>830</v>
      </c>
      <c r="K729" s="32">
        <f t="shared" si="37"/>
        <v>3320</v>
      </c>
      <c r="L729" s="364"/>
      <c r="M729" s="364"/>
      <c r="N729" s="63"/>
    </row>
    <row r="730" spans="2:14" ht="15.75" x14ac:dyDescent="0.25">
      <c r="B730" s="353"/>
      <c r="C730" s="353"/>
      <c r="D730" s="352" t="s">
        <v>508</v>
      </c>
      <c r="E730" s="353"/>
      <c r="F730" s="224" t="s">
        <v>666</v>
      </c>
      <c r="G730" s="132"/>
      <c r="H730" s="32" t="s">
        <v>23</v>
      </c>
      <c r="I730" s="32">
        <v>4</v>
      </c>
      <c r="J730" s="32">
        <v>2079</v>
      </c>
      <c r="K730" s="32">
        <f t="shared" si="37"/>
        <v>8316</v>
      </c>
      <c r="L730" s="364"/>
      <c r="M730" s="364"/>
      <c r="N730" s="63"/>
    </row>
    <row r="731" spans="2:14" ht="15.75" x14ac:dyDescent="0.25">
      <c r="B731" s="353"/>
      <c r="C731" s="353"/>
      <c r="D731" s="354"/>
      <c r="E731" s="353"/>
      <c r="F731" s="224" t="s">
        <v>667</v>
      </c>
      <c r="G731" s="132"/>
      <c r="H731" s="32" t="s">
        <v>23</v>
      </c>
      <c r="I731" s="32">
        <v>4</v>
      </c>
      <c r="J731" s="32">
        <v>966</v>
      </c>
      <c r="K731" s="32">
        <f t="shared" si="37"/>
        <v>3864</v>
      </c>
      <c r="L731" s="364"/>
      <c r="M731" s="364"/>
      <c r="N731" s="63"/>
    </row>
    <row r="732" spans="2:14" ht="15.75" x14ac:dyDescent="0.25">
      <c r="B732" s="353"/>
      <c r="C732" s="353"/>
      <c r="D732" s="352" t="s">
        <v>637</v>
      </c>
      <c r="E732" s="353"/>
      <c r="F732" s="224" t="s">
        <v>666</v>
      </c>
      <c r="G732" s="132"/>
      <c r="H732" s="32" t="s">
        <v>23</v>
      </c>
      <c r="I732" s="32">
        <v>4</v>
      </c>
      <c r="J732" s="32">
        <v>2079</v>
      </c>
      <c r="K732" s="32">
        <f t="shared" si="37"/>
        <v>8316</v>
      </c>
      <c r="L732" s="364"/>
      <c r="M732" s="364"/>
      <c r="N732" s="63"/>
    </row>
    <row r="733" spans="2:14" ht="15.75" x14ac:dyDescent="0.25">
      <c r="B733" s="353"/>
      <c r="C733" s="353"/>
      <c r="D733" s="354"/>
      <c r="E733" s="353"/>
      <c r="F733" s="224" t="s">
        <v>667</v>
      </c>
      <c r="G733" s="132"/>
      <c r="H733" s="32" t="s">
        <v>23</v>
      </c>
      <c r="I733" s="32">
        <v>4</v>
      </c>
      <c r="J733" s="32">
        <v>966</v>
      </c>
      <c r="K733" s="32">
        <f t="shared" si="37"/>
        <v>3864</v>
      </c>
      <c r="L733" s="364"/>
      <c r="M733" s="364"/>
      <c r="N733" s="63"/>
    </row>
    <row r="734" spans="2:14" ht="15.75" x14ac:dyDescent="0.25">
      <c r="B734" s="353"/>
      <c r="C734" s="353"/>
      <c r="D734" s="352" t="s">
        <v>387</v>
      </c>
      <c r="E734" s="353"/>
      <c r="F734" s="224" t="s">
        <v>666</v>
      </c>
      <c r="G734" s="132"/>
      <c r="H734" s="32" t="s">
        <v>23</v>
      </c>
      <c r="I734" s="32">
        <v>4</v>
      </c>
      <c r="J734" s="32">
        <v>2079</v>
      </c>
      <c r="K734" s="32">
        <f t="shared" si="37"/>
        <v>8316</v>
      </c>
      <c r="L734" s="364"/>
      <c r="M734" s="364"/>
      <c r="N734" s="63"/>
    </row>
    <row r="735" spans="2:14" ht="15.75" x14ac:dyDescent="0.25">
      <c r="B735" s="354"/>
      <c r="C735" s="354"/>
      <c r="D735" s="354"/>
      <c r="E735" s="353"/>
      <c r="F735" s="224" t="s">
        <v>667</v>
      </c>
      <c r="G735" s="132"/>
      <c r="H735" s="32" t="s">
        <v>23</v>
      </c>
      <c r="I735" s="32">
        <v>4</v>
      </c>
      <c r="J735" s="32">
        <v>966</v>
      </c>
      <c r="K735" s="32">
        <f t="shared" si="37"/>
        <v>3864</v>
      </c>
      <c r="L735" s="364"/>
      <c r="M735" s="364"/>
      <c r="N735" s="63"/>
    </row>
    <row r="736" spans="2:14" ht="15.75" x14ac:dyDescent="0.25">
      <c r="B736" s="352"/>
      <c r="C736" s="352" t="s">
        <v>38</v>
      </c>
      <c r="D736" s="352" t="s">
        <v>668</v>
      </c>
      <c r="E736" s="353"/>
      <c r="F736" s="224" t="s">
        <v>662</v>
      </c>
      <c r="G736" s="132"/>
      <c r="H736" s="32" t="s">
        <v>23</v>
      </c>
      <c r="I736" s="32">
        <v>4</v>
      </c>
      <c r="J736" s="32">
        <v>2079</v>
      </c>
      <c r="K736" s="32">
        <f t="shared" si="37"/>
        <v>8316</v>
      </c>
      <c r="L736" s="364"/>
      <c r="M736" s="364"/>
      <c r="N736" s="63"/>
    </row>
    <row r="737" spans="2:14" ht="15.75" x14ac:dyDescent="0.25">
      <c r="B737" s="353"/>
      <c r="C737" s="353"/>
      <c r="D737" s="354"/>
      <c r="E737" s="353"/>
      <c r="F737" s="224" t="s">
        <v>663</v>
      </c>
      <c r="G737" s="132"/>
      <c r="H737" s="32" t="s">
        <v>23</v>
      </c>
      <c r="I737" s="32">
        <v>4</v>
      </c>
      <c r="J737" s="32">
        <v>966</v>
      </c>
      <c r="K737" s="32">
        <f t="shared" si="37"/>
        <v>3864</v>
      </c>
      <c r="L737" s="364"/>
      <c r="M737" s="364"/>
      <c r="N737" s="63"/>
    </row>
    <row r="738" spans="2:14" ht="15.75" x14ac:dyDescent="0.25">
      <c r="B738" s="353"/>
      <c r="C738" s="353"/>
      <c r="D738" s="352" t="s">
        <v>669</v>
      </c>
      <c r="E738" s="353"/>
      <c r="F738" s="224" t="s">
        <v>662</v>
      </c>
      <c r="G738" s="132"/>
      <c r="H738" s="32" t="s">
        <v>23</v>
      </c>
      <c r="I738" s="32">
        <v>4</v>
      </c>
      <c r="J738" s="32">
        <v>2079</v>
      </c>
      <c r="K738" s="32">
        <f t="shared" si="37"/>
        <v>8316</v>
      </c>
      <c r="L738" s="364"/>
      <c r="M738" s="364"/>
      <c r="N738" s="63"/>
    </row>
    <row r="739" spans="2:14" ht="15.75" x14ac:dyDescent="0.25">
      <c r="B739" s="353"/>
      <c r="C739" s="353"/>
      <c r="D739" s="354"/>
      <c r="E739" s="353"/>
      <c r="F739" s="224" t="s">
        <v>663</v>
      </c>
      <c r="G739" s="132"/>
      <c r="H739" s="32" t="s">
        <v>23</v>
      </c>
      <c r="I739" s="32">
        <v>4</v>
      </c>
      <c r="J739" s="32">
        <v>966</v>
      </c>
      <c r="K739" s="32">
        <f t="shared" si="37"/>
        <v>3864</v>
      </c>
      <c r="L739" s="364"/>
      <c r="M739" s="364"/>
      <c r="N739" s="63"/>
    </row>
    <row r="740" spans="2:14" ht="15.75" x14ac:dyDescent="0.25">
      <c r="B740" s="353"/>
      <c r="C740" s="353"/>
      <c r="D740" s="352" t="s">
        <v>670</v>
      </c>
      <c r="E740" s="353"/>
      <c r="F740" s="224" t="s">
        <v>662</v>
      </c>
      <c r="G740" s="132"/>
      <c r="H740" s="32" t="s">
        <v>23</v>
      </c>
      <c r="I740" s="32">
        <v>4</v>
      </c>
      <c r="J740" s="32">
        <v>2079</v>
      </c>
      <c r="K740" s="32">
        <f t="shared" si="37"/>
        <v>8316</v>
      </c>
      <c r="L740" s="364"/>
      <c r="M740" s="364"/>
      <c r="N740" s="63"/>
    </row>
    <row r="741" spans="2:14" ht="15.75" x14ac:dyDescent="0.25">
      <c r="B741" s="353"/>
      <c r="C741" s="353"/>
      <c r="D741" s="354"/>
      <c r="E741" s="353"/>
      <c r="F741" s="224" t="s">
        <v>663</v>
      </c>
      <c r="G741" s="132"/>
      <c r="H741" s="32" t="s">
        <v>23</v>
      </c>
      <c r="I741" s="32">
        <v>4</v>
      </c>
      <c r="J741" s="32">
        <v>966</v>
      </c>
      <c r="K741" s="32">
        <f t="shared" si="37"/>
        <v>3864</v>
      </c>
      <c r="L741" s="364"/>
      <c r="M741" s="364"/>
      <c r="N741" s="63"/>
    </row>
    <row r="742" spans="2:14" ht="15.75" x14ac:dyDescent="0.25">
      <c r="B742" s="353"/>
      <c r="C742" s="353"/>
      <c r="D742" s="352" t="s">
        <v>671</v>
      </c>
      <c r="E742" s="353"/>
      <c r="F742" s="224" t="s">
        <v>662</v>
      </c>
      <c r="G742" s="132"/>
      <c r="H742" s="32" t="s">
        <v>23</v>
      </c>
      <c r="I742" s="32">
        <v>4</v>
      </c>
      <c r="J742" s="32">
        <v>2079</v>
      </c>
      <c r="K742" s="32">
        <f t="shared" si="37"/>
        <v>8316</v>
      </c>
      <c r="L742" s="364"/>
      <c r="M742" s="364"/>
      <c r="N742" s="63"/>
    </row>
    <row r="743" spans="2:14" ht="15.75" x14ac:dyDescent="0.25">
      <c r="B743" s="353"/>
      <c r="C743" s="353"/>
      <c r="D743" s="354"/>
      <c r="E743" s="353"/>
      <c r="F743" s="224" t="s">
        <v>663</v>
      </c>
      <c r="G743" s="132"/>
      <c r="H743" s="32" t="s">
        <v>23</v>
      </c>
      <c r="I743" s="32">
        <v>4</v>
      </c>
      <c r="J743" s="32">
        <v>966</v>
      </c>
      <c r="K743" s="32">
        <f t="shared" si="37"/>
        <v>3864</v>
      </c>
      <c r="L743" s="364"/>
      <c r="M743" s="364"/>
      <c r="N743" s="63"/>
    </row>
    <row r="744" spans="2:14" ht="15.75" x14ac:dyDescent="0.25">
      <c r="B744" s="353"/>
      <c r="C744" s="353"/>
      <c r="D744" s="352" t="s">
        <v>672</v>
      </c>
      <c r="E744" s="353"/>
      <c r="F744" s="224" t="s">
        <v>662</v>
      </c>
      <c r="G744" s="132"/>
      <c r="H744" s="32" t="s">
        <v>23</v>
      </c>
      <c r="I744" s="32">
        <v>4</v>
      </c>
      <c r="J744" s="32">
        <v>2079</v>
      </c>
      <c r="K744" s="32">
        <f t="shared" si="37"/>
        <v>8316</v>
      </c>
      <c r="L744" s="364"/>
      <c r="M744" s="364"/>
      <c r="N744" s="63"/>
    </row>
    <row r="745" spans="2:14" ht="15.75" x14ac:dyDescent="0.25">
      <c r="B745" s="353"/>
      <c r="C745" s="353"/>
      <c r="D745" s="354"/>
      <c r="E745" s="353"/>
      <c r="F745" s="224" t="s">
        <v>663</v>
      </c>
      <c r="G745" s="132"/>
      <c r="H745" s="32" t="s">
        <v>23</v>
      </c>
      <c r="I745" s="32">
        <v>4</v>
      </c>
      <c r="J745" s="32">
        <v>966</v>
      </c>
      <c r="K745" s="32">
        <f t="shared" si="37"/>
        <v>3864</v>
      </c>
      <c r="L745" s="364"/>
      <c r="M745" s="364"/>
      <c r="N745" s="63"/>
    </row>
    <row r="746" spans="2:14" ht="15.75" x14ac:dyDescent="0.25">
      <c r="B746" s="353"/>
      <c r="C746" s="353"/>
      <c r="D746" s="352" t="s">
        <v>673</v>
      </c>
      <c r="E746" s="353"/>
      <c r="F746" s="224" t="s">
        <v>662</v>
      </c>
      <c r="G746" s="132"/>
      <c r="H746" s="32" t="s">
        <v>23</v>
      </c>
      <c r="I746" s="32">
        <v>4</v>
      </c>
      <c r="J746" s="32">
        <v>2079</v>
      </c>
      <c r="K746" s="32">
        <f t="shared" si="37"/>
        <v>8316</v>
      </c>
      <c r="L746" s="364"/>
      <c r="M746" s="364"/>
      <c r="N746" s="63"/>
    </row>
    <row r="747" spans="2:14" ht="15.75" x14ac:dyDescent="0.25">
      <c r="B747" s="353"/>
      <c r="C747" s="353"/>
      <c r="D747" s="354"/>
      <c r="E747" s="353"/>
      <c r="F747" s="224" t="s">
        <v>663</v>
      </c>
      <c r="G747" s="132"/>
      <c r="H747" s="32" t="s">
        <v>23</v>
      </c>
      <c r="I747" s="32">
        <v>4</v>
      </c>
      <c r="J747" s="32">
        <v>966</v>
      </c>
      <c r="K747" s="32">
        <f t="shared" si="37"/>
        <v>3864</v>
      </c>
      <c r="L747" s="364"/>
      <c r="M747" s="364"/>
      <c r="N747" s="63"/>
    </row>
    <row r="748" spans="2:14" ht="15.75" x14ac:dyDescent="0.25">
      <c r="B748" s="353"/>
      <c r="C748" s="353"/>
      <c r="D748" s="352" t="s">
        <v>674</v>
      </c>
      <c r="E748" s="353"/>
      <c r="F748" s="224" t="s">
        <v>662</v>
      </c>
      <c r="G748" s="132"/>
      <c r="H748" s="32" t="s">
        <v>23</v>
      </c>
      <c r="I748" s="32">
        <v>4</v>
      </c>
      <c r="J748" s="32">
        <v>2079</v>
      </c>
      <c r="K748" s="32">
        <f t="shared" si="37"/>
        <v>8316</v>
      </c>
      <c r="L748" s="364"/>
      <c r="M748" s="364"/>
      <c r="N748" s="63"/>
    </row>
    <row r="749" spans="2:14" ht="15.75" x14ac:dyDescent="0.25">
      <c r="B749" s="353"/>
      <c r="C749" s="353"/>
      <c r="D749" s="354"/>
      <c r="E749" s="353"/>
      <c r="F749" s="224" t="s">
        <v>663</v>
      </c>
      <c r="G749" s="132"/>
      <c r="H749" s="32" t="s">
        <v>23</v>
      </c>
      <c r="I749" s="32">
        <v>4</v>
      </c>
      <c r="J749" s="32">
        <v>966</v>
      </c>
      <c r="K749" s="32">
        <f t="shared" si="37"/>
        <v>3864</v>
      </c>
      <c r="L749" s="364"/>
      <c r="M749" s="364"/>
      <c r="N749" s="63"/>
    </row>
    <row r="750" spans="2:14" ht="15.75" x14ac:dyDescent="0.25">
      <c r="B750" s="353"/>
      <c r="C750" s="353"/>
      <c r="D750" s="352" t="s">
        <v>675</v>
      </c>
      <c r="E750" s="353"/>
      <c r="F750" s="224" t="s">
        <v>662</v>
      </c>
      <c r="G750" s="132"/>
      <c r="H750" s="32" t="s">
        <v>23</v>
      </c>
      <c r="I750" s="32">
        <v>4</v>
      </c>
      <c r="J750" s="32">
        <v>2079</v>
      </c>
      <c r="K750" s="32">
        <f t="shared" si="37"/>
        <v>8316</v>
      </c>
      <c r="L750" s="364"/>
      <c r="M750" s="364"/>
      <c r="N750" s="63"/>
    </row>
    <row r="751" spans="2:14" ht="15.75" x14ac:dyDescent="0.25">
      <c r="B751" s="354"/>
      <c r="C751" s="354"/>
      <c r="D751" s="354"/>
      <c r="E751" s="354"/>
      <c r="F751" s="224" t="s">
        <v>663</v>
      </c>
      <c r="G751" s="132"/>
      <c r="H751" s="32" t="s">
        <v>23</v>
      </c>
      <c r="I751" s="32">
        <v>4</v>
      </c>
      <c r="J751" s="32">
        <v>966</v>
      </c>
      <c r="K751" s="32">
        <f t="shared" si="37"/>
        <v>3864</v>
      </c>
      <c r="L751" s="365"/>
      <c r="M751" s="365"/>
      <c r="N751" s="63"/>
    </row>
    <row r="752" spans="2:14" ht="18.75" x14ac:dyDescent="0.25">
      <c r="B752" s="366" t="s">
        <v>17</v>
      </c>
      <c r="C752" s="367"/>
      <c r="D752" s="367"/>
      <c r="E752" s="367"/>
      <c r="F752" s="367"/>
      <c r="G752" s="368"/>
      <c r="H752" s="99"/>
      <c r="I752" s="99"/>
      <c r="J752" s="99"/>
      <c r="K752" s="101">
        <f>SUM(K712:K751)</f>
        <v>766970</v>
      </c>
      <c r="L752" s="100"/>
      <c r="M752" s="101">
        <f>SUM(M712:M751)</f>
        <v>766970</v>
      </c>
      <c r="N752" s="75"/>
    </row>
    <row r="753" spans="2:14" ht="18.75" x14ac:dyDescent="0.3">
      <c r="B753" s="407" t="s">
        <v>20</v>
      </c>
      <c r="C753" s="407"/>
      <c r="D753" s="407"/>
      <c r="E753" s="407"/>
      <c r="F753" s="407"/>
      <c r="G753" s="407"/>
      <c r="H753" s="407"/>
      <c r="I753" s="407"/>
      <c r="J753" s="407"/>
      <c r="K753" s="407"/>
      <c r="L753" s="407"/>
      <c r="M753" s="407"/>
      <c r="N753" s="407"/>
    </row>
    <row r="754" spans="2:14" ht="15.75" x14ac:dyDescent="0.25">
      <c r="B754" s="383"/>
      <c r="C754" s="383" t="s">
        <v>38</v>
      </c>
      <c r="D754" s="383" t="s">
        <v>676</v>
      </c>
      <c r="E754" s="383" t="s">
        <v>677</v>
      </c>
      <c r="F754" s="51" t="s">
        <v>678</v>
      </c>
      <c r="G754" s="28"/>
      <c r="H754" s="28" t="s">
        <v>23</v>
      </c>
      <c r="I754" s="28">
        <v>2</v>
      </c>
      <c r="J754" s="30">
        <v>22700</v>
      </c>
      <c r="K754" s="30">
        <f>I754*J754</f>
        <v>45400</v>
      </c>
      <c r="L754" s="386" t="s">
        <v>29</v>
      </c>
      <c r="M754" s="386">
        <f>SUM(K754:K765)</f>
        <v>106758</v>
      </c>
      <c r="N754" s="383"/>
    </row>
    <row r="755" spans="2:14" ht="15.75" x14ac:dyDescent="0.25">
      <c r="B755" s="384"/>
      <c r="C755" s="384"/>
      <c r="D755" s="384"/>
      <c r="E755" s="384"/>
      <c r="F755" s="51" t="s">
        <v>679</v>
      </c>
      <c r="G755" s="28"/>
      <c r="H755" s="28" t="s">
        <v>23</v>
      </c>
      <c r="I755" s="28">
        <v>2</v>
      </c>
      <c r="J755" s="30"/>
      <c r="K755" s="30">
        <f t="shared" ref="K755:K765" si="38">I755*J755</f>
        <v>0</v>
      </c>
      <c r="L755" s="387"/>
      <c r="M755" s="387"/>
      <c r="N755" s="384"/>
    </row>
    <row r="756" spans="2:14" ht="31.5" x14ac:dyDescent="0.25">
      <c r="B756" s="385"/>
      <c r="C756" s="385"/>
      <c r="D756" s="385"/>
      <c r="E756" s="385"/>
      <c r="F756" s="51" t="s">
        <v>680</v>
      </c>
      <c r="G756" s="28"/>
      <c r="H756" s="28" t="s">
        <v>1264</v>
      </c>
      <c r="I756" s="28">
        <v>4</v>
      </c>
      <c r="J756" s="30">
        <v>4451</v>
      </c>
      <c r="K756" s="30">
        <f t="shared" si="38"/>
        <v>17804</v>
      </c>
      <c r="L756" s="388"/>
      <c r="M756" s="387"/>
      <c r="N756" s="385"/>
    </row>
    <row r="757" spans="2:14" ht="15.75" x14ac:dyDescent="0.25">
      <c r="B757" s="383"/>
      <c r="C757" s="383" t="s">
        <v>38</v>
      </c>
      <c r="D757" s="383" t="s">
        <v>681</v>
      </c>
      <c r="E757" s="383"/>
      <c r="F757" s="51" t="s">
        <v>682</v>
      </c>
      <c r="G757" s="28"/>
      <c r="H757" s="28" t="s">
        <v>23</v>
      </c>
      <c r="I757" s="28">
        <v>2</v>
      </c>
      <c r="J757" s="30">
        <v>2340</v>
      </c>
      <c r="K757" s="30">
        <f t="shared" si="38"/>
        <v>4680</v>
      </c>
      <c r="L757" s="386" t="s">
        <v>29</v>
      </c>
      <c r="M757" s="387"/>
      <c r="N757" s="383"/>
    </row>
    <row r="758" spans="2:14" ht="15.75" x14ac:dyDescent="0.25">
      <c r="B758" s="385"/>
      <c r="C758" s="385"/>
      <c r="D758" s="385"/>
      <c r="E758" s="385"/>
      <c r="F758" s="51" t="s">
        <v>683</v>
      </c>
      <c r="G758" s="28"/>
      <c r="H758" s="28" t="s">
        <v>23</v>
      </c>
      <c r="I758" s="28">
        <v>7</v>
      </c>
      <c r="J758" s="30">
        <v>3100</v>
      </c>
      <c r="K758" s="30">
        <f t="shared" si="38"/>
        <v>21700</v>
      </c>
      <c r="L758" s="388"/>
      <c r="M758" s="387"/>
      <c r="N758" s="385"/>
    </row>
    <row r="759" spans="2:14" ht="15.75" x14ac:dyDescent="0.25">
      <c r="B759" s="383"/>
      <c r="C759" s="383" t="s">
        <v>38</v>
      </c>
      <c r="D759" s="383" t="s">
        <v>684</v>
      </c>
      <c r="E759" s="383"/>
      <c r="F759" s="51" t="s">
        <v>685</v>
      </c>
      <c r="G759" s="28"/>
      <c r="H759" s="28" t="s">
        <v>23</v>
      </c>
      <c r="I759" s="28">
        <v>1</v>
      </c>
      <c r="J759" s="30">
        <v>5244</v>
      </c>
      <c r="K759" s="30">
        <f t="shared" si="38"/>
        <v>5244</v>
      </c>
      <c r="L759" s="386" t="s">
        <v>29</v>
      </c>
      <c r="M759" s="387"/>
      <c r="N759" s="383"/>
    </row>
    <row r="760" spans="2:14" ht="15.75" x14ac:dyDescent="0.25">
      <c r="B760" s="384"/>
      <c r="C760" s="384"/>
      <c r="D760" s="384"/>
      <c r="E760" s="384"/>
      <c r="F760" s="51" t="s">
        <v>686</v>
      </c>
      <c r="G760" s="28"/>
      <c r="H760" s="28" t="s">
        <v>23</v>
      </c>
      <c r="I760" s="28">
        <v>1</v>
      </c>
      <c r="J760" s="30">
        <v>345</v>
      </c>
      <c r="K760" s="30">
        <f t="shared" si="38"/>
        <v>345</v>
      </c>
      <c r="L760" s="387"/>
      <c r="M760" s="387"/>
      <c r="N760" s="384"/>
    </row>
    <row r="761" spans="2:14" ht="15.75" x14ac:dyDescent="0.25">
      <c r="B761" s="385"/>
      <c r="C761" s="385"/>
      <c r="D761" s="385"/>
      <c r="E761" s="385"/>
      <c r="F761" s="51" t="s">
        <v>687</v>
      </c>
      <c r="G761" s="28"/>
      <c r="H761" s="28" t="s">
        <v>23</v>
      </c>
      <c r="I761" s="28">
        <v>1</v>
      </c>
      <c r="J761" s="30">
        <v>11585</v>
      </c>
      <c r="K761" s="30">
        <f t="shared" si="38"/>
        <v>11585</v>
      </c>
      <c r="L761" s="388"/>
      <c r="M761" s="387"/>
      <c r="N761" s="385"/>
    </row>
    <row r="762" spans="2:14" ht="15.75" x14ac:dyDescent="0.25">
      <c r="B762" s="383"/>
      <c r="C762" s="383" t="s">
        <v>38</v>
      </c>
      <c r="D762" s="383" t="s">
        <v>688</v>
      </c>
      <c r="E762" s="383"/>
      <c r="F762" s="51" t="s">
        <v>689</v>
      </c>
      <c r="G762" s="28"/>
      <c r="H762" s="28" t="s">
        <v>23</v>
      </c>
      <c r="I762" s="28">
        <v>4</v>
      </c>
      <c r="J762" s="30"/>
      <c r="K762" s="30">
        <f t="shared" si="38"/>
        <v>0</v>
      </c>
      <c r="L762" s="386" t="s">
        <v>29</v>
      </c>
      <c r="M762" s="387"/>
      <c r="N762" s="383"/>
    </row>
    <row r="763" spans="2:14" ht="15.75" x14ac:dyDescent="0.25">
      <c r="B763" s="384"/>
      <c r="C763" s="384"/>
      <c r="D763" s="384"/>
      <c r="E763" s="384"/>
      <c r="F763" s="51" t="s">
        <v>690</v>
      </c>
      <c r="G763" s="28"/>
      <c r="H763" s="28" t="s">
        <v>23</v>
      </c>
      <c r="I763" s="28">
        <v>6</v>
      </c>
      <c r="J763" s="30"/>
      <c r="K763" s="30">
        <f t="shared" si="38"/>
        <v>0</v>
      </c>
      <c r="L763" s="387"/>
      <c r="M763" s="387"/>
      <c r="N763" s="384"/>
    </row>
    <row r="764" spans="2:14" ht="31.5" x14ac:dyDescent="0.25">
      <c r="B764" s="384"/>
      <c r="C764" s="384"/>
      <c r="D764" s="384"/>
      <c r="E764" s="384"/>
      <c r="F764" s="51" t="s">
        <v>691</v>
      </c>
      <c r="G764" s="28"/>
      <c r="H764" s="28" t="s">
        <v>23</v>
      </c>
      <c r="I764" s="28">
        <v>16</v>
      </c>
      <c r="J764" s="30"/>
      <c r="K764" s="30">
        <f t="shared" si="38"/>
        <v>0</v>
      </c>
      <c r="L764" s="387"/>
      <c r="M764" s="387"/>
      <c r="N764" s="384"/>
    </row>
    <row r="765" spans="2:14" ht="31.5" x14ac:dyDescent="0.25">
      <c r="B765" s="385"/>
      <c r="C765" s="385"/>
      <c r="D765" s="385"/>
      <c r="E765" s="385"/>
      <c r="F765" s="51" t="s">
        <v>692</v>
      </c>
      <c r="G765" s="28"/>
      <c r="H765" s="28" t="s">
        <v>23</v>
      </c>
      <c r="I765" s="28">
        <v>2</v>
      </c>
      <c r="J765" s="30"/>
      <c r="K765" s="30">
        <f t="shared" si="38"/>
        <v>0</v>
      </c>
      <c r="L765" s="388"/>
      <c r="M765" s="388"/>
      <c r="N765" s="385"/>
    </row>
    <row r="766" spans="2:14" ht="18.75" x14ac:dyDescent="0.3">
      <c r="B766" s="423" t="s">
        <v>17</v>
      </c>
      <c r="C766" s="424"/>
      <c r="D766" s="424"/>
      <c r="E766" s="424"/>
      <c r="F766" s="424"/>
      <c r="G766" s="425"/>
      <c r="H766" s="74"/>
      <c r="I766" s="74"/>
      <c r="J766" s="74"/>
      <c r="K766" s="79">
        <f>SUM(K754:K765)</f>
        <v>106758</v>
      </c>
      <c r="L766" s="175"/>
      <c r="M766" s="79">
        <f>SUM(M754:M765)</f>
        <v>106758</v>
      </c>
      <c r="N766" s="74"/>
    </row>
    <row r="767" spans="2:14" ht="15.75" x14ac:dyDescent="0.25">
      <c r="B767" s="426" t="s">
        <v>21</v>
      </c>
      <c r="C767" s="426"/>
      <c r="D767" s="426"/>
      <c r="E767" s="426"/>
      <c r="F767" s="426"/>
      <c r="G767" s="426"/>
      <c r="H767" s="426"/>
      <c r="I767" s="426"/>
      <c r="J767" s="426"/>
      <c r="K767" s="426"/>
      <c r="L767" s="426"/>
      <c r="M767" s="426"/>
      <c r="N767" s="426"/>
    </row>
    <row r="768" spans="2:14" ht="15.75" x14ac:dyDescent="0.25">
      <c r="B768" s="369"/>
      <c r="C768" s="360" t="s">
        <v>38</v>
      </c>
      <c r="D768" s="352" t="s">
        <v>693</v>
      </c>
      <c r="E768" s="352" t="s">
        <v>694</v>
      </c>
      <c r="F768" s="224" t="s">
        <v>991</v>
      </c>
      <c r="G768" s="3"/>
      <c r="H768" s="15" t="s">
        <v>68</v>
      </c>
      <c r="I768" s="15">
        <v>100</v>
      </c>
      <c r="J768" s="3">
        <v>374</v>
      </c>
      <c r="K768" s="3">
        <f>I768*J768</f>
        <v>37400</v>
      </c>
      <c r="L768" s="389" t="s">
        <v>29</v>
      </c>
      <c r="M768" s="421">
        <f>SUM(K768:K779)</f>
        <v>237308</v>
      </c>
      <c r="N768" s="369"/>
    </row>
    <row r="769" spans="2:14" ht="15.75" x14ac:dyDescent="0.25">
      <c r="B769" s="370"/>
      <c r="C769" s="361"/>
      <c r="D769" s="353"/>
      <c r="E769" s="353"/>
      <c r="F769" s="224" t="s">
        <v>992</v>
      </c>
      <c r="G769" s="3"/>
      <c r="H769" s="15" t="s">
        <v>68</v>
      </c>
      <c r="I769" s="15">
        <v>100</v>
      </c>
      <c r="J769" s="3">
        <v>322</v>
      </c>
      <c r="K769" s="3">
        <f t="shared" ref="K769:K808" si="39">I769*J769</f>
        <v>32200</v>
      </c>
      <c r="L769" s="390"/>
      <c r="M769" s="422"/>
      <c r="N769" s="370"/>
    </row>
    <row r="770" spans="2:14" ht="15.75" x14ac:dyDescent="0.25">
      <c r="B770" s="370"/>
      <c r="C770" s="361"/>
      <c r="D770" s="353"/>
      <c r="E770" s="353"/>
      <c r="F770" s="224" t="s">
        <v>993</v>
      </c>
      <c r="G770" s="3"/>
      <c r="H770" s="15" t="s">
        <v>68</v>
      </c>
      <c r="I770" s="15">
        <v>100</v>
      </c>
      <c r="J770" s="3">
        <v>322</v>
      </c>
      <c r="K770" s="3">
        <f t="shared" si="39"/>
        <v>32200</v>
      </c>
      <c r="L770" s="390"/>
      <c r="M770" s="422"/>
      <c r="N770" s="370"/>
    </row>
    <row r="771" spans="2:14" ht="15.75" x14ac:dyDescent="0.25">
      <c r="B771" s="370"/>
      <c r="C771" s="361"/>
      <c r="D771" s="353"/>
      <c r="E771" s="353"/>
      <c r="F771" s="224" t="s">
        <v>994</v>
      </c>
      <c r="G771" s="3"/>
      <c r="H771" s="15" t="s">
        <v>68</v>
      </c>
      <c r="I771" s="15">
        <v>100</v>
      </c>
      <c r="J771" s="3">
        <v>357</v>
      </c>
      <c r="K771" s="3">
        <f t="shared" si="39"/>
        <v>35700</v>
      </c>
      <c r="L771" s="390"/>
      <c r="M771" s="422"/>
      <c r="N771" s="370"/>
    </row>
    <row r="772" spans="2:14" ht="15.75" x14ac:dyDescent="0.25">
      <c r="B772" s="370"/>
      <c r="C772" s="361"/>
      <c r="D772" s="353"/>
      <c r="E772" s="353"/>
      <c r="F772" s="224" t="s">
        <v>995</v>
      </c>
      <c r="G772" s="3"/>
      <c r="H772" s="15" t="s">
        <v>68</v>
      </c>
      <c r="I772" s="15">
        <v>100</v>
      </c>
      <c r="J772" s="3">
        <v>430</v>
      </c>
      <c r="K772" s="3">
        <f t="shared" si="39"/>
        <v>43000</v>
      </c>
      <c r="L772" s="390"/>
      <c r="M772" s="422"/>
      <c r="N772" s="370"/>
    </row>
    <row r="773" spans="2:14" ht="15.75" x14ac:dyDescent="0.25">
      <c r="B773" s="370"/>
      <c r="C773" s="361"/>
      <c r="D773" s="353"/>
      <c r="E773" s="353"/>
      <c r="F773" s="224" t="s">
        <v>996</v>
      </c>
      <c r="G773" s="3"/>
      <c r="H773" s="15" t="s">
        <v>68</v>
      </c>
      <c r="I773" s="15">
        <v>20</v>
      </c>
      <c r="J773" s="3">
        <v>131</v>
      </c>
      <c r="K773" s="3">
        <f t="shared" si="39"/>
        <v>2620</v>
      </c>
      <c r="L773" s="390"/>
      <c r="M773" s="422"/>
      <c r="N773" s="370"/>
    </row>
    <row r="774" spans="2:14" ht="15.75" x14ac:dyDescent="0.25">
      <c r="B774" s="370"/>
      <c r="C774" s="361"/>
      <c r="D774" s="353"/>
      <c r="E774" s="353"/>
      <c r="F774" s="224" t="s">
        <v>997</v>
      </c>
      <c r="G774" s="3"/>
      <c r="H774" s="15" t="s">
        <v>68</v>
      </c>
      <c r="I774" s="15">
        <v>35</v>
      </c>
      <c r="J774" s="3">
        <v>175</v>
      </c>
      <c r="K774" s="3">
        <f t="shared" si="39"/>
        <v>6125</v>
      </c>
      <c r="L774" s="390"/>
      <c r="M774" s="422"/>
      <c r="N774" s="370"/>
    </row>
    <row r="775" spans="2:14" ht="15.75" x14ac:dyDescent="0.25">
      <c r="B775" s="370"/>
      <c r="C775" s="361"/>
      <c r="D775" s="353"/>
      <c r="E775" s="353"/>
      <c r="F775" s="224" t="s">
        <v>998</v>
      </c>
      <c r="G775" s="3"/>
      <c r="H775" s="15" t="s">
        <v>68</v>
      </c>
      <c r="I775" s="15">
        <v>106</v>
      </c>
      <c r="J775" s="3">
        <v>193</v>
      </c>
      <c r="K775" s="3">
        <f t="shared" si="39"/>
        <v>20458</v>
      </c>
      <c r="L775" s="390"/>
      <c r="M775" s="422"/>
      <c r="N775" s="370"/>
    </row>
    <row r="776" spans="2:14" ht="15.75" x14ac:dyDescent="0.25">
      <c r="B776" s="370"/>
      <c r="C776" s="361"/>
      <c r="D776" s="353"/>
      <c r="E776" s="353"/>
      <c r="F776" s="224" t="s">
        <v>999</v>
      </c>
      <c r="G776" s="3"/>
      <c r="H776" s="15" t="s">
        <v>68</v>
      </c>
      <c r="I776" s="15">
        <v>20</v>
      </c>
      <c r="J776" s="3">
        <v>170</v>
      </c>
      <c r="K776" s="3">
        <f t="shared" si="39"/>
        <v>3400</v>
      </c>
      <c r="L776" s="390"/>
      <c r="M776" s="422"/>
      <c r="N776" s="370"/>
    </row>
    <row r="777" spans="2:14" ht="15.75" x14ac:dyDescent="0.25">
      <c r="B777" s="370"/>
      <c r="C777" s="361"/>
      <c r="D777" s="353"/>
      <c r="E777" s="353"/>
      <c r="F777" s="224" t="s">
        <v>1000</v>
      </c>
      <c r="G777" s="3"/>
      <c r="H777" s="15" t="s">
        <v>68</v>
      </c>
      <c r="I777" s="15">
        <v>35</v>
      </c>
      <c r="J777" s="3">
        <v>141</v>
      </c>
      <c r="K777" s="3">
        <f t="shared" si="39"/>
        <v>4935</v>
      </c>
      <c r="L777" s="390"/>
      <c r="M777" s="422"/>
      <c r="N777" s="370"/>
    </row>
    <row r="778" spans="2:14" ht="15.75" x14ac:dyDescent="0.25">
      <c r="B778" s="370"/>
      <c r="C778" s="361"/>
      <c r="D778" s="353"/>
      <c r="E778" s="353"/>
      <c r="F778" s="224" t="s">
        <v>1001</v>
      </c>
      <c r="G778" s="3"/>
      <c r="H778" s="15" t="s">
        <v>68</v>
      </c>
      <c r="I778" s="15">
        <v>106</v>
      </c>
      <c r="J778" s="3">
        <v>20</v>
      </c>
      <c r="K778" s="3">
        <f t="shared" si="39"/>
        <v>2120</v>
      </c>
      <c r="L778" s="390"/>
      <c r="M778" s="422"/>
      <c r="N778" s="370"/>
    </row>
    <row r="779" spans="2:14" ht="19.5" customHeight="1" x14ac:dyDescent="0.25">
      <c r="B779" s="370"/>
      <c r="C779" s="361"/>
      <c r="D779" s="353"/>
      <c r="E779" s="353"/>
      <c r="F779" s="224" t="s">
        <v>1002</v>
      </c>
      <c r="G779" s="3"/>
      <c r="H779" s="15" t="s">
        <v>68</v>
      </c>
      <c r="I779" s="15">
        <v>98</v>
      </c>
      <c r="J779" s="3">
        <v>175</v>
      </c>
      <c r="K779" s="3">
        <f>I779*J779</f>
        <v>17150</v>
      </c>
      <c r="L779" s="390"/>
      <c r="M779" s="422"/>
      <c r="N779" s="370"/>
    </row>
    <row r="780" spans="2:14" ht="20.25" customHeight="1" x14ac:dyDescent="0.25">
      <c r="B780" s="121"/>
      <c r="C780" s="121" t="s">
        <v>38</v>
      </c>
      <c r="D780" s="33" t="s">
        <v>524</v>
      </c>
      <c r="E780" s="33" t="s">
        <v>695</v>
      </c>
      <c r="F780" s="224" t="s">
        <v>696</v>
      </c>
      <c r="G780" s="3"/>
      <c r="H780" s="15" t="s">
        <v>68</v>
      </c>
      <c r="I780" s="15">
        <v>10</v>
      </c>
      <c r="J780" s="3">
        <v>2412</v>
      </c>
      <c r="K780" s="3">
        <f t="shared" si="39"/>
        <v>24120</v>
      </c>
      <c r="L780" s="31" t="s">
        <v>29</v>
      </c>
      <c r="M780" s="250">
        <f>K780</f>
        <v>24120</v>
      </c>
      <c r="N780" s="121"/>
    </row>
    <row r="781" spans="2:14" ht="15.75" x14ac:dyDescent="0.25">
      <c r="B781" s="369"/>
      <c r="C781" s="360" t="s">
        <v>38</v>
      </c>
      <c r="D781" s="360" t="s">
        <v>697</v>
      </c>
      <c r="E781" s="360" t="s">
        <v>698</v>
      </c>
      <c r="F781" s="213" t="s">
        <v>1003</v>
      </c>
      <c r="G781" s="3"/>
      <c r="H781" s="140" t="s">
        <v>56</v>
      </c>
      <c r="I781" s="140">
        <v>0.8</v>
      </c>
      <c r="J781" s="3">
        <v>51000</v>
      </c>
      <c r="K781" s="3">
        <f t="shared" si="39"/>
        <v>40800</v>
      </c>
      <c r="L781" s="389" t="s">
        <v>29</v>
      </c>
      <c r="M781" s="421">
        <f>SUM(K781:K787)</f>
        <v>320960</v>
      </c>
      <c r="N781" s="369"/>
    </row>
    <row r="782" spans="2:14" ht="15.75" x14ac:dyDescent="0.25">
      <c r="B782" s="370"/>
      <c r="C782" s="361"/>
      <c r="D782" s="361"/>
      <c r="E782" s="361"/>
      <c r="F782" s="213" t="s">
        <v>1223</v>
      </c>
      <c r="G782" s="3"/>
      <c r="H782" s="140" t="s">
        <v>56</v>
      </c>
      <c r="I782" s="140">
        <v>1.7</v>
      </c>
      <c r="J782" s="3">
        <v>63000</v>
      </c>
      <c r="K782" s="3">
        <f t="shared" si="39"/>
        <v>107100</v>
      </c>
      <c r="L782" s="390"/>
      <c r="M782" s="422"/>
      <c r="N782" s="370"/>
    </row>
    <row r="783" spans="2:14" ht="15.75" x14ac:dyDescent="0.25">
      <c r="B783" s="370"/>
      <c r="C783" s="361"/>
      <c r="D783" s="361"/>
      <c r="E783" s="361"/>
      <c r="F783" s="242" t="s">
        <v>1015</v>
      </c>
      <c r="G783" s="3"/>
      <c r="H783" s="140" t="s">
        <v>23</v>
      </c>
      <c r="I783" s="140">
        <v>100</v>
      </c>
      <c r="J783" s="3">
        <v>92</v>
      </c>
      <c r="K783" s="3">
        <f t="shared" si="39"/>
        <v>9200</v>
      </c>
      <c r="L783" s="390"/>
      <c r="M783" s="422"/>
      <c r="N783" s="370"/>
    </row>
    <row r="784" spans="2:14" ht="15.75" x14ac:dyDescent="0.25">
      <c r="B784" s="370"/>
      <c r="C784" s="361"/>
      <c r="D784" s="361"/>
      <c r="E784" s="361"/>
      <c r="F784" s="242" t="s">
        <v>1014</v>
      </c>
      <c r="G784" s="3"/>
      <c r="H784" s="140" t="s">
        <v>68</v>
      </c>
      <c r="I784" s="140">
        <v>30</v>
      </c>
      <c r="J784" s="3">
        <v>206</v>
      </c>
      <c r="K784" s="3">
        <f>I784*J784</f>
        <v>6180</v>
      </c>
      <c r="L784" s="390"/>
      <c r="M784" s="422"/>
      <c r="N784" s="370"/>
    </row>
    <row r="785" spans="2:14" ht="15.75" x14ac:dyDescent="0.25">
      <c r="B785" s="370"/>
      <c r="C785" s="361"/>
      <c r="D785" s="361"/>
      <c r="E785" s="361"/>
      <c r="F785" s="242" t="s">
        <v>1013</v>
      </c>
      <c r="G785" s="3"/>
      <c r="H785" s="140" t="s">
        <v>68</v>
      </c>
      <c r="I785" s="140">
        <v>20</v>
      </c>
      <c r="J785" s="3">
        <v>248</v>
      </c>
      <c r="K785" s="3">
        <f t="shared" si="39"/>
        <v>4960</v>
      </c>
      <c r="L785" s="390"/>
      <c r="M785" s="422"/>
      <c r="N785" s="370"/>
    </row>
    <row r="786" spans="2:14" ht="31.5" x14ac:dyDescent="0.25">
      <c r="B786" s="370"/>
      <c r="C786" s="361"/>
      <c r="D786" s="361"/>
      <c r="E786" s="361"/>
      <c r="F786" s="242" t="s">
        <v>915</v>
      </c>
      <c r="G786" s="3"/>
      <c r="H786" s="140" t="s">
        <v>916</v>
      </c>
      <c r="I786" s="140">
        <v>24</v>
      </c>
      <c r="J786" s="15">
        <v>680</v>
      </c>
      <c r="K786" s="15">
        <f t="shared" si="39"/>
        <v>16320</v>
      </c>
      <c r="L786" s="390"/>
      <c r="M786" s="422"/>
      <c r="N786" s="370"/>
    </row>
    <row r="787" spans="2:14" ht="15.75" x14ac:dyDescent="0.25">
      <c r="B787" s="370"/>
      <c r="C787" s="361"/>
      <c r="D787" s="361"/>
      <c r="E787" s="362"/>
      <c r="F787" s="213" t="s">
        <v>1016</v>
      </c>
      <c r="G787" s="3"/>
      <c r="H787" s="140" t="s">
        <v>56</v>
      </c>
      <c r="I787" s="140">
        <v>2.2000000000000002</v>
      </c>
      <c r="J787" s="15">
        <v>62000</v>
      </c>
      <c r="K787" s="15">
        <f t="shared" si="39"/>
        <v>136400</v>
      </c>
      <c r="L787" s="391"/>
      <c r="M787" s="427"/>
      <c r="N787" s="371"/>
    </row>
    <row r="788" spans="2:14" ht="15.75" x14ac:dyDescent="0.25">
      <c r="B788" s="370"/>
      <c r="C788" s="361"/>
      <c r="D788" s="361"/>
      <c r="E788" s="360" t="s">
        <v>699</v>
      </c>
      <c r="F788" s="242" t="s">
        <v>438</v>
      </c>
      <c r="G788" s="3"/>
      <c r="H788" s="140" t="s">
        <v>23</v>
      </c>
      <c r="I788" s="140">
        <v>50</v>
      </c>
      <c r="J788" s="3">
        <v>450</v>
      </c>
      <c r="K788" s="3">
        <f t="shared" si="39"/>
        <v>22500</v>
      </c>
      <c r="L788" s="428" t="s">
        <v>29</v>
      </c>
      <c r="M788" s="421">
        <f>SUM(K788:K796)</f>
        <v>328300</v>
      </c>
      <c r="N788" s="369"/>
    </row>
    <row r="789" spans="2:14" ht="15.75" x14ac:dyDescent="0.25">
      <c r="B789" s="370"/>
      <c r="C789" s="361"/>
      <c r="D789" s="361"/>
      <c r="E789" s="361"/>
      <c r="F789" s="242" t="s">
        <v>1017</v>
      </c>
      <c r="G789" s="3"/>
      <c r="H789" s="140" t="s">
        <v>56</v>
      </c>
      <c r="I789" s="140">
        <v>20</v>
      </c>
      <c r="J789" s="3">
        <v>2830</v>
      </c>
      <c r="K789" s="3">
        <f t="shared" si="39"/>
        <v>56600</v>
      </c>
      <c r="L789" s="356"/>
      <c r="M789" s="422"/>
      <c r="N789" s="370"/>
    </row>
    <row r="790" spans="2:14" ht="15.75" x14ac:dyDescent="0.25">
      <c r="B790" s="370"/>
      <c r="C790" s="361"/>
      <c r="D790" s="361"/>
      <c r="E790" s="361"/>
      <c r="F790" s="242" t="s">
        <v>591</v>
      </c>
      <c r="G790" s="3"/>
      <c r="H790" s="140" t="s">
        <v>56</v>
      </c>
      <c r="I790" s="140">
        <v>20</v>
      </c>
      <c r="J790" s="3">
        <v>1400</v>
      </c>
      <c r="K790" s="3">
        <f t="shared" si="39"/>
        <v>28000</v>
      </c>
      <c r="L790" s="356"/>
      <c r="M790" s="422"/>
      <c r="N790" s="370"/>
    </row>
    <row r="791" spans="2:14" ht="15.75" x14ac:dyDescent="0.25">
      <c r="B791" s="370"/>
      <c r="C791" s="361"/>
      <c r="D791" s="361"/>
      <c r="E791" s="361"/>
      <c r="F791" s="242" t="s">
        <v>1187</v>
      </c>
      <c r="G791" s="3"/>
      <c r="H791" s="140" t="s">
        <v>528</v>
      </c>
      <c r="I791" s="140">
        <v>2</v>
      </c>
      <c r="J791" s="3">
        <v>10500</v>
      </c>
      <c r="K791" s="3">
        <f t="shared" si="39"/>
        <v>21000</v>
      </c>
      <c r="L791" s="356"/>
      <c r="M791" s="422"/>
      <c r="N791" s="370"/>
    </row>
    <row r="792" spans="2:14" ht="15.75" x14ac:dyDescent="0.25">
      <c r="B792" s="370"/>
      <c r="C792" s="361"/>
      <c r="D792" s="361"/>
      <c r="E792" s="361"/>
      <c r="F792" s="213" t="s">
        <v>700</v>
      </c>
      <c r="G792" s="3"/>
      <c r="H792" s="140" t="s">
        <v>56</v>
      </c>
      <c r="I792" s="140">
        <v>0.5</v>
      </c>
      <c r="J792" s="3">
        <v>57000</v>
      </c>
      <c r="K792" s="3">
        <f t="shared" si="39"/>
        <v>28500</v>
      </c>
      <c r="L792" s="356"/>
      <c r="M792" s="422"/>
      <c r="N792" s="370"/>
    </row>
    <row r="793" spans="2:14" ht="15.75" x14ac:dyDescent="0.25">
      <c r="B793" s="370"/>
      <c r="C793" s="361"/>
      <c r="D793" s="361"/>
      <c r="E793" s="361"/>
      <c r="F793" s="213" t="s">
        <v>1018</v>
      </c>
      <c r="G793" s="3"/>
      <c r="H793" s="140" t="s">
        <v>56</v>
      </c>
      <c r="I793" s="140">
        <v>0.5</v>
      </c>
      <c r="J793" s="3">
        <v>57000</v>
      </c>
      <c r="K793" s="3">
        <f t="shared" si="39"/>
        <v>28500</v>
      </c>
      <c r="L793" s="356"/>
      <c r="M793" s="422"/>
      <c r="N793" s="370"/>
    </row>
    <row r="794" spans="2:14" ht="15.75" x14ac:dyDescent="0.25">
      <c r="B794" s="370"/>
      <c r="C794" s="361"/>
      <c r="D794" s="361"/>
      <c r="E794" s="361"/>
      <c r="F794" s="213" t="s">
        <v>1019</v>
      </c>
      <c r="G794" s="3"/>
      <c r="H794" s="140" t="s">
        <v>56</v>
      </c>
      <c r="I794" s="140">
        <v>0.5</v>
      </c>
      <c r="J794" s="3">
        <v>58000</v>
      </c>
      <c r="K794" s="3">
        <f t="shared" si="39"/>
        <v>29000</v>
      </c>
      <c r="L794" s="356"/>
      <c r="M794" s="422"/>
      <c r="N794" s="370"/>
    </row>
    <row r="795" spans="2:14" ht="15.75" x14ac:dyDescent="0.25">
      <c r="B795" s="370"/>
      <c r="C795" s="361"/>
      <c r="D795" s="361"/>
      <c r="E795" s="361"/>
      <c r="F795" s="242" t="s">
        <v>1020</v>
      </c>
      <c r="G795" s="3"/>
      <c r="H795" s="140" t="s">
        <v>68</v>
      </c>
      <c r="I795" s="140">
        <v>200</v>
      </c>
      <c r="J795" s="3">
        <v>502</v>
      </c>
      <c r="K795" s="3">
        <f t="shared" si="39"/>
        <v>100400</v>
      </c>
      <c r="L795" s="356"/>
      <c r="M795" s="422"/>
      <c r="N795" s="370"/>
    </row>
    <row r="796" spans="2:14" ht="15.75" x14ac:dyDescent="0.25">
      <c r="B796" s="371"/>
      <c r="C796" s="362"/>
      <c r="D796" s="362"/>
      <c r="E796" s="362"/>
      <c r="F796" s="242" t="s">
        <v>1021</v>
      </c>
      <c r="G796" s="3"/>
      <c r="H796" s="140" t="s">
        <v>68</v>
      </c>
      <c r="I796" s="140">
        <v>100</v>
      </c>
      <c r="J796" s="3">
        <v>138</v>
      </c>
      <c r="K796" s="3">
        <f t="shared" si="39"/>
        <v>13800</v>
      </c>
      <c r="L796" s="357"/>
      <c r="M796" s="427"/>
      <c r="N796" s="371"/>
    </row>
    <row r="797" spans="2:14" ht="15.75" x14ac:dyDescent="0.25">
      <c r="B797" s="369"/>
      <c r="C797" s="360" t="s">
        <v>38</v>
      </c>
      <c r="D797" s="352" t="s">
        <v>701</v>
      </c>
      <c r="E797" s="352" t="s">
        <v>702</v>
      </c>
      <c r="F797" s="242" t="s">
        <v>1013</v>
      </c>
      <c r="G797" s="3"/>
      <c r="H797" s="140" t="s">
        <v>68</v>
      </c>
      <c r="I797" s="140">
        <v>300</v>
      </c>
      <c r="J797" s="3">
        <v>206</v>
      </c>
      <c r="K797" s="3">
        <f t="shared" si="39"/>
        <v>61800</v>
      </c>
      <c r="L797" s="389" t="s">
        <v>29</v>
      </c>
      <c r="M797" s="421">
        <f>SUM(K797:K808)</f>
        <v>342452</v>
      </c>
      <c r="N797" s="369"/>
    </row>
    <row r="798" spans="2:14" ht="15.75" x14ac:dyDescent="0.25">
      <c r="B798" s="370"/>
      <c r="C798" s="361"/>
      <c r="D798" s="353"/>
      <c r="E798" s="353"/>
      <c r="F798" s="242" t="s">
        <v>1014</v>
      </c>
      <c r="G798" s="3"/>
      <c r="H798" s="140" t="s">
        <v>68</v>
      </c>
      <c r="I798" s="140">
        <v>500</v>
      </c>
      <c r="J798" s="3">
        <v>248</v>
      </c>
      <c r="K798" s="3">
        <f t="shared" si="39"/>
        <v>124000</v>
      </c>
      <c r="L798" s="390"/>
      <c r="M798" s="422"/>
      <c r="N798" s="370"/>
    </row>
    <row r="799" spans="2:14" ht="15.75" x14ac:dyDescent="0.25">
      <c r="B799" s="370"/>
      <c r="C799" s="361"/>
      <c r="D799" s="353"/>
      <c r="E799" s="353"/>
      <c r="F799" s="242" t="s">
        <v>1015</v>
      </c>
      <c r="G799" s="3"/>
      <c r="H799" s="140" t="s">
        <v>23</v>
      </c>
      <c r="I799" s="140">
        <v>1200</v>
      </c>
      <c r="J799" s="3">
        <v>92</v>
      </c>
      <c r="K799" s="3">
        <f t="shared" si="39"/>
        <v>110400</v>
      </c>
      <c r="L799" s="390"/>
      <c r="M799" s="422"/>
      <c r="N799" s="370"/>
    </row>
    <row r="800" spans="2:14" ht="15.75" x14ac:dyDescent="0.25">
      <c r="B800" s="370"/>
      <c r="C800" s="361"/>
      <c r="D800" s="353"/>
      <c r="E800" s="353"/>
      <c r="F800" s="213" t="s">
        <v>1004</v>
      </c>
      <c r="G800" s="3"/>
      <c r="H800" s="140" t="s">
        <v>56</v>
      </c>
      <c r="I800" s="140">
        <v>0.1</v>
      </c>
      <c r="J800" s="3">
        <v>33500</v>
      </c>
      <c r="K800" s="3">
        <f t="shared" si="39"/>
        <v>3350</v>
      </c>
      <c r="L800" s="390"/>
      <c r="M800" s="422"/>
      <c r="N800" s="370"/>
    </row>
    <row r="801" spans="2:14" ht="15.75" x14ac:dyDescent="0.25">
      <c r="B801" s="370"/>
      <c r="C801" s="361"/>
      <c r="D801" s="353"/>
      <c r="E801" s="353"/>
      <c r="F801" s="213" t="s">
        <v>1005</v>
      </c>
      <c r="G801" s="3"/>
      <c r="H801" s="140" t="s">
        <v>56</v>
      </c>
      <c r="I801" s="140">
        <v>0.1</v>
      </c>
      <c r="J801" s="3">
        <v>37500</v>
      </c>
      <c r="K801" s="3">
        <f t="shared" si="39"/>
        <v>3750</v>
      </c>
      <c r="L801" s="390"/>
      <c r="M801" s="422"/>
      <c r="N801" s="370"/>
    </row>
    <row r="802" spans="2:14" ht="15.75" x14ac:dyDescent="0.25">
      <c r="B802" s="370"/>
      <c r="C802" s="361"/>
      <c r="D802" s="353"/>
      <c r="E802" s="353"/>
      <c r="F802" s="213" t="s">
        <v>1006</v>
      </c>
      <c r="G802" s="3"/>
      <c r="H802" s="140" t="s">
        <v>56</v>
      </c>
      <c r="I802" s="140">
        <v>0.1</v>
      </c>
      <c r="J802" s="3">
        <v>47840</v>
      </c>
      <c r="K802" s="3">
        <f t="shared" si="39"/>
        <v>4784</v>
      </c>
      <c r="L802" s="390"/>
      <c r="M802" s="422"/>
      <c r="N802" s="370"/>
    </row>
    <row r="803" spans="2:14" ht="15.75" x14ac:dyDescent="0.25">
      <c r="B803" s="370"/>
      <c r="C803" s="361"/>
      <c r="D803" s="353"/>
      <c r="E803" s="353"/>
      <c r="F803" s="213" t="s">
        <v>1007</v>
      </c>
      <c r="G803" s="3"/>
      <c r="H803" s="140" t="s">
        <v>56</v>
      </c>
      <c r="I803" s="140">
        <v>0.1</v>
      </c>
      <c r="J803" s="3">
        <v>37500</v>
      </c>
      <c r="K803" s="3">
        <f t="shared" si="39"/>
        <v>3750</v>
      </c>
      <c r="L803" s="390"/>
      <c r="M803" s="422"/>
      <c r="N803" s="370"/>
    </row>
    <row r="804" spans="2:14" ht="15.75" x14ac:dyDescent="0.25">
      <c r="B804" s="370"/>
      <c r="C804" s="361"/>
      <c r="D804" s="353"/>
      <c r="E804" s="353"/>
      <c r="F804" s="213" t="s">
        <v>1008</v>
      </c>
      <c r="G804" s="3"/>
      <c r="H804" s="140" t="s">
        <v>56</v>
      </c>
      <c r="I804" s="140">
        <v>0.1</v>
      </c>
      <c r="J804" s="3">
        <v>37500</v>
      </c>
      <c r="K804" s="3">
        <f t="shared" si="39"/>
        <v>3750</v>
      </c>
      <c r="L804" s="390"/>
      <c r="M804" s="422"/>
      <c r="N804" s="370"/>
    </row>
    <row r="805" spans="2:14" ht="15.75" x14ac:dyDescent="0.25">
      <c r="B805" s="370"/>
      <c r="C805" s="361"/>
      <c r="D805" s="353"/>
      <c r="E805" s="353"/>
      <c r="F805" s="213" t="s">
        <v>1009</v>
      </c>
      <c r="G805" s="3"/>
      <c r="H805" s="140" t="s">
        <v>56</v>
      </c>
      <c r="I805" s="140">
        <v>0.1</v>
      </c>
      <c r="J805" s="3">
        <v>41760</v>
      </c>
      <c r="K805" s="3">
        <f t="shared" si="39"/>
        <v>4176</v>
      </c>
      <c r="L805" s="390"/>
      <c r="M805" s="422"/>
      <c r="N805" s="370"/>
    </row>
    <row r="806" spans="2:14" ht="15.75" x14ac:dyDescent="0.25">
      <c r="B806" s="370"/>
      <c r="C806" s="361"/>
      <c r="D806" s="353"/>
      <c r="E806" s="353"/>
      <c r="F806" s="213" t="s">
        <v>1010</v>
      </c>
      <c r="G806" s="3"/>
      <c r="H806" s="140" t="s">
        <v>56</v>
      </c>
      <c r="I806" s="140">
        <v>0.1</v>
      </c>
      <c r="J806" s="3">
        <v>38000</v>
      </c>
      <c r="K806" s="3">
        <f t="shared" si="39"/>
        <v>3800</v>
      </c>
      <c r="L806" s="390"/>
      <c r="M806" s="422"/>
      <c r="N806" s="370"/>
    </row>
    <row r="807" spans="2:14" ht="15.75" x14ac:dyDescent="0.25">
      <c r="B807" s="370"/>
      <c r="C807" s="361"/>
      <c r="D807" s="353"/>
      <c r="E807" s="353"/>
      <c r="F807" s="213" t="s">
        <v>1011</v>
      </c>
      <c r="G807" s="3"/>
      <c r="H807" s="140" t="s">
        <v>56</v>
      </c>
      <c r="I807" s="140">
        <v>0.2</v>
      </c>
      <c r="J807" s="3">
        <v>39190</v>
      </c>
      <c r="K807" s="3">
        <f t="shared" si="39"/>
        <v>7838</v>
      </c>
      <c r="L807" s="390"/>
      <c r="M807" s="422"/>
      <c r="N807" s="370"/>
    </row>
    <row r="808" spans="2:14" ht="15.75" x14ac:dyDescent="0.25">
      <c r="B808" s="371"/>
      <c r="C808" s="362"/>
      <c r="D808" s="354"/>
      <c r="E808" s="354"/>
      <c r="F808" s="213" t="s">
        <v>1012</v>
      </c>
      <c r="G808" s="3"/>
      <c r="H808" s="140" t="s">
        <v>56</v>
      </c>
      <c r="I808" s="140">
        <v>0.2</v>
      </c>
      <c r="J808" s="3">
        <v>55270</v>
      </c>
      <c r="K808" s="3">
        <f t="shared" si="39"/>
        <v>11054</v>
      </c>
      <c r="L808" s="391"/>
      <c r="M808" s="427"/>
      <c r="N808" s="371"/>
    </row>
    <row r="809" spans="2:14" ht="36" customHeight="1" x14ac:dyDescent="0.25">
      <c r="B809" s="8"/>
      <c r="C809" s="10" t="s">
        <v>38</v>
      </c>
      <c r="D809" s="2" t="s">
        <v>342</v>
      </c>
      <c r="E809" s="2" t="s">
        <v>711</v>
      </c>
      <c r="F809" s="12" t="s">
        <v>37</v>
      </c>
      <c r="G809" s="8"/>
      <c r="H809" s="8"/>
      <c r="I809" s="8"/>
      <c r="J809" s="3"/>
      <c r="K809" s="3"/>
      <c r="L809" s="15" t="s">
        <v>26</v>
      </c>
      <c r="M809" s="71">
        <v>249545</v>
      </c>
      <c r="N809" s="8"/>
    </row>
    <row r="810" spans="2:14" ht="94.5" x14ac:dyDescent="0.25">
      <c r="B810" s="8"/>
      <c r="C810" s="10" t="s">
        <v>38</v>
      </c>
      <c r="D810" s="2" t="s">
        <v>712</v>
      </c>
      <c r="E810" s="2" t="s">
        <v>713</v>
      </c>
      <c r="F810" s="12" t="s">
        <v>37</v>
      </c>
      <c r="G810" s="8"/>
      <c r="H810" s="8"/>
      <c r="I810" s="8"/>
      <c r="J810" s="3"/>
      <c r="K810" s="3"/>
      <c r="L810" s="15" t="s">
        <v>26</v>
      </c>
      <c r="M810" s="125"/>
      <c r="N810" s="8"/>
    </row>
    <row r="811" spans="2:14" ht="39" customHeight="1" x14ac:dyDescent="0.25">
      <c r="B811" s="8"/>
      <c r="C811" s="10" t="s">
        <v>24</v>
      </c>
      <c r="D811" s="2" t="s">
        <v>714</v>
      </c>
      <c r="E811" s="2" t="s">
        <v>715</v>
      </c>
      <c r="F811" s="22" t="s">
        <v>37</v>
      </c>
      <c r="G811" s="8" t="s">
        <v>326</v>
      </c>
      <c r="H811" s="8"/>
      <c r="I811" s="8"/>
      <c r="J811" s="3"/>
      <c r="K811" s="3"/>
      <c r="L811" s="15" t="s">
        <v>26</v>
      </c>
      <c r="M811" s="125"/>
      <c r="N811" s="8"/>
    </row>
    <row r="812" spans="2:14" ht="51" customHeight="1" x14ac:dyDescent="0.25">
      <c r="B812" s="8"/>
      <c r="C812" s="10" t="s">
        <v>24</v>
      </c>
      <c r="D812" s="10" t="s">
        <v>129</v>
      </c>
      <c r="E812" s="2" t="s">
        <v>716</v>
      </c>
      <c r="F812" s="12" t="s">
        <v>37</v>
      </c>
      <c r="G812" s="8"/>
      <c r="H812" s="35"/>
      <c r="I812" s="8"/>
      <c r="J812" s="3"/>
      <c r="K812" s="3"/>
      <c r="L812" s="15" t="s">
        <v>26</v>
      </c>
      <c r="M812" s="125"/>
      <c r="N812" s="8"/>
    </row>
    <row r="813" spans="2:14" ht="33" customHeight="1" x14ac:dyDescent="0.25">
      <c r="B813" s="8"/>
      <c r="C813" s="10" t="s">
        <v>38</v>
      </c>
      <c r="D813" s="2" t="s">
        <v>717</v>
      </c>
      <c r="E813" s="2" t="s">
        <v>718</v>
      </c>
      <c r="F813" s="224" t="s">
        <v>717</v>
      </c>
      <c r="G813" s="15" t="s">
        <v>719</v>
      </c>
      <c r="H813" s="15" t="s">
        <v>23</v>
      </c>
      <c r="I813" s="15">
        <v>1</v>
      </c>
      <c r="J813" s="15">
        <v>9000</v>
      </c>
      <c r="K813" s="15">
        <f>I813*J813</f>
        <v>9000</v>
      </c>
      <c r="L813" s="15" t="s">
        <v>29</v>
      </c>
      <c r="M813" s="71">
        <f>K813</f>
        <v>9000</v>
      </c>
      <c r="N813" s="8"/>
    </row>
    <row r="814" spans="2:14" ht="20.25" x14ac:dyDescent="0.3">
      <c r="B814" s="349" t="s">
        <v>18</v>
      </c>
      <c r="C814" s="350"/>
      <c r="D814" s="350"/>
      <c r="E814" s="350"/>
      <c r="F814" s="350"/>
      <c r="G814" s="351"/>
      <c r="H814" s="74"/>
      <c r="I814" s="74"/>
      <c r="J814" s="74"/>
      <c r="K814" s="79">
        <f>SUM(K768:K813)</f>
        <v>1262140</v>
      </c>
      <c r="L814" s="74"/>
      <c r="M814" s="108">
        <f>SUM(M768:M813)</f>
        <v>1511685</v>
      </c>
      <c r="N814" s="74"/>
    </row>
    <row r="815" spans="2:14" ht="20.25" x14ac:dyDescent="0.3">
      <c r="B815" s="349" t="s">
        <v>1276</v>
      </c>
      <c r="C815" s="350"/>
      <c r="D815" s="350"/>
      <c r="E815" s="350"/>
      <c r="F815" s="350"/>
      <c r="G815" s="351"/>
      <c r="H815" s="74"/>
      <c r="I815" s="74"/>
      <c r="J815" s="74"/>
      <c r="K815" s="79"/>
      <c r="L815" s="74"/>
      <c r="M815" s="108">
        <v>910000</v>
      </c>
      <c r="N815" s="74"/>
    </row>
    <row r="816" spans="2:14" ht="20.25" x14ac:dyDescent="0.3">
      <c r="B816" s="420" t="s">
        <v>747</v>
      </c>
      <c r="C816" s="420"/>
      <c r="D816" s="420"/>
      <c r="E816" s="420"/>
      <c r="F816" s="420"/>
      <c r="G816" s="420"/>
      <c r="H816" s="74"/>
      <c r="I816" s="74"/>
      <c r="J816" s="74"/>
      <c r="K816" s="107">
        <f>K814+K766+K752+K710+K584+K536</f>
        <v>14076388</v>
      </c>
      <c r="L816" s="107"/>
      <c r="M816" s="107">
        <f>M814+M766+M752+M710+M584+M536+M815</f>
        <v>18212702</v>
      </c>
      <c r="N816" s="74"/>
    </row>
    <row r="817" spans="2:14" ht="20.25" x14ac:dyDescent="0.3">
      <c r="B817" s="419" t="s">
        <v>748</v>
      </c>
      <c r="C817" s="419"/>
      <c r="D817" s="419"/>
      <c r="E817" s="419"/>
      <c r="F817" s="419"/>
      <c r="G817" s="419"/>
      <c r="H817" s="18"/>
      <c r="I817" s="18"/>
      <c r="J817" s="18"/>
      <c r="K817" s="80">
        <f>K816+K512+K467+K223</f>
        <v>53744214</v>
      </c>
      <c r="L817" s="80"/>
      <c r="M817" s="80">
        <f>M816+M512+M467+M223</f>
        <v>93731046</v>
      </c>
      <c r="N817" s="18"/>
    </row>
  </sheetData>
  <mergeCells count="668">
    <mergeCell ref="B143:B146"/>
    <mergeCell ref="E143:E146"/>
    <mergeCell ref="D143:D146"/>
    <mergeCell ref="N157:N163"/>
    <mergeCell ref="B503:B509"/>
    <mergeCell ref="C503:C509"/>
    <mergeCell ref="D503:D509"/>
    <mergeCell ref="J164:J165"/>
    <mergeCell ref="K164:K165"/>
    <mergeCell ref="L281:L283"/>
    <mergeCell ref="C206:C213"/>
    <mergeCell ref="B206:B213"/>
    <mergeCell ref="B468:N468"/>
    <mergeCell ref="B469:N469"/>
    <mergeCell ref="B473:G473"/>
    <mergeCell ref="B474:N474"/>
    <mergeCell ref="B477:G477"/>
    <mergeCell ref="D376:D380"/>
    <mergeCell ref="D381:D387"/>
    <mergeCell ref="D388:D392"/>
    <mergeCell ref="D275:D276"/>
    <mergeCell ref="E275:E276"/>
    <mergeCell ref="C229:C231"/>
    <mergeCell ref="D229:D231"/>
    <mergeCell ref="B479:B483"/>
    <mergeCell ref="C479:C483"/>
    <mergeCell ref="D479:D483"/>
    <mergeCell ref="E412:E415"/>
    <mergeCell ref="D402:D415"/>
    <mergeCell ref="B393:B397"/>
    <mergeCell ref="B361:B365"/>
    <mergeCell ref="B366:B370"/>
    <mergeCell ref="C366:C370"/>
    <mergeCell ref="C371:C375"/>
    <mergeCell ref="B467:G467"/>
    <mergeCell ref="B419:B441"/>
    <mergeCell ref="C419:C441"/>
    <mergeCell ref="D419:D441"/>
    <mergeCell ref="E419:E441"/>
    <mergeCell ref="B442:B464"/>
    <mergeCell ref="C442:C464"/>
    <mergeCell ref="D442:D464"/>
    <mergeCell ref="E442:E464"/>
    <mergeCell ref="B465:G465"/>
    <mergeCell ref="E408:E411"/>
    <mergeCell ref="N408:N411"/>
    <mergeCell ref="C393:C397"/>
    <mergeCell ref="B388:B392"/>
    <mergeCell ref="D393:D397"/>
    <mergeCell ref="C361:C365"/>
    <mergeCell ref="B350:B358"/>
    <mergeCell ref="D361:D365"/>
    <mergeCell ref="D366:D370"/>
    <mergeCell ref="D371:D375"/>
    <mergeCell ref="B359:B360"/>
    <mergeCell ref="D350:D353"/>
    <mergeCell ref="D354:D358"/>
    <mergeCell ref="D359:D360"/>
    <mergeCell ref="C350:C353"/>
    <mergeCell ref="C354:C358"/>
    <mergeCell ref="C359:C360"/>
    <mergeCell ref="B371:B375"/>
    <mergeCell ref="C376:C380"/>
    <mergeCell ref="C381:C387"/>
    <mergeCell ref="C388:C392"/>
    <mergeCell ref="B376:B380"/>
    <mergeCell ref="B399:N399"/>
    <mergeCell ref="B398:G398"/>
    <mergeCell ref="G157:G163"/>
    <mergeCell ref="L293:L294"/>
    <mergeCell ref="E290:E292"/>
    <mergeCell ref="G290:G292"/>
    <mergeCell ref="M290:M292"/>
    <mergeCell ref="L290:L292"/>
    <mergeCell ref="E293:E302"/>
    <mergeCell ref="L295:L302"/>
    <mergeCell ref="M293:M302"/>
    <mergeCell ref="L229:L231"/>
    <mergeCell ref="M229:M231"/>
    <mergeCell ref="M241:M250"/>
    <mergeCell ref="L241:L250"/>
    <mergeCell ref="M215:M217"/>
    <mergeCell ref="L253:L256"/>
    <mergeCell ref="L287:L289"/>
    <mergeCell ref="N215:N217"/>
    <mergeCell ref="L215:L217"/>
    <mergeCell ref="G215:G217"/>
    <mergeCell ref="L206:L213"/>
    <mergeCell ref="M206:M212"/>
    <mergeCell ref="N206:N213"/>
    <mergeCell ref="G164:G165"/>
    <mergeCell ref="L157:L163"/>
    <mergeCell ref="M157:M163"/>
    <mergeCell ref="B192:G192"/>
    <mergeCell ref="D189:D190"/>
    <mergeCell ref="D180:D188"/>
    <mergeCell ref="C157:C163"/>
    <mergeCell ref="B157:B163"/>
    <mergeCell ref="D164:D165"/>
    <mergeCell ref="E164:E165"/>
    <mergeCell ref="C164:C165"/>
    <mergeCell ref="B175:B179"/>
    <mergeCell ref="C189:C190"/>
    <mergeCell ref="B189:B190"/>
    <mergeCell ref="B180:B188"/>
    <mergeCell ref="M164:M165"/>
    <mergeCell ref="L164:L165"/>
    <mergeCell ref="B164:B165"/>
    <mergeCell ref="B166:B174"/>
    <mergeCell ref="C166:C174"/>
    <mergeCell ref="C175:C179"/>
    <mergeCell ref="C180:C188"/>
    <mergeCell ref="B193:N193"/>
    <mergeCell ref="B203:N203"/>
    <mergeCell ref="B202:G202"/>
    <mergeCell ref="N164:N165"/>
    <mergeCell ref="E175:E179"/>
    <mergeCell ref="D175:D179"/>
    <mergeCell ref="D166:D174"/>
    <mergeCell ref="M166:M191"/>
    <mergeCell ref="B195:B201"/>
    <mergeCell ref="C195:C201"/>
    <mergeCell ref="D195:D201"/>
    <mergeCell ref="N100:N110"/>
    <mergeCell ref="M111:M115"/>
    <mergeCell ref="N111:N115"/>
    <mergeCell ref="M116:M120"/>
    <mergeCell ref="N116:N120"/>
    <mergeCell ref="M141:M142"/>
    <mergeCell ref="N141:N142"/>
    <mergeCell ref="L151:L156"/>
    <mergeCell ref="M151:M156"/>
    <mergeCell ref="N151:N156"/>
    <mergeCell ref="M126:M131"/>
    <mergeCell ref="N126:N131"/>
    <mergeCell ref="M132:M140"/>
    <mergeCell ref="N132:N140"/>
    <mergeCell ref="L100:L110"/>
    <mergeCell ref="L111:L115"/>
    <mergeCell ref="L116:L120"/>
    <mergeCell ref="L121:L125"/>
    <mergeCell ref="N84:N85"/>
    <mergeCell ref="M86:M87"/>
    <mergeCell ref="N86:N87"/>
    <mergeCell ref="M95:M99"/>
    <mergeCell ref="N95:N99"/>
    <mergeCell ref="B121:B125"/>
    <mergeCell ref="C121:C125"/>
    <mergeCell ref="D121:D125"/>
    <mergeCell ref="E121:E125"/>
    <mergeCell ref="M121:M125"/>
    <mergeCell ref="N121:N125"/>
    <mergeCell ref="M100:M110"/>
    <mergeCell ref="G86:G87"/>
    <mergeCell ref="B111:B115"/>
    <mergeCell ref="C111:C115"/>
    <mergeCell ref="D111:D115"/>
    <mergeCell ref="E111:E115"/>
    <mergeCell ref="G111:G115"/>
    <mergeCell ref="B100:B110"/>
    <mergeCell ref="C100:C110"/>
    <mergeCell ref="D100:D110"/>
    <mergeCell ref="E100:E110"/>
    <mergeCell ref="G100:G110"/>
    <mergeCell ref="E95:E99"/>
    <mergeCell ref="G95:G99"/>
    <mergeCell ref="B95:B99"/>
    <mergeCell ref="C95:C99"/>
    <mergeCell ref="D95:D99"/>
    <mergeCell ref="B92:G92"/>
    <mergeCell ref="D39:D87"/>
    <mergeCell ref="E84:E85"/>
    <mergeCell ref="G41:G44"/>
    <mergeCell ref="E47:E49"/>
    <mergeCell ref="G84:G85"/>
    <mergeCell ref="E86:E87"/>
    <mergeCell ref="E51:E54"/>
    <mergeCell ref="E77:E80"/>
    <mergeCell ref="E81:E83"/>
    <mergeCell ref="G77:G80"/>
    <mergeCell ref="G81:G83"/>
    <mergeCell ref="E41:E44"/>
    <mergeCell ref="E59:E76"/>
    <mergeCell ref="G59:G72"/>
    <mergeCell ref="G73:G76"/>
    <mergeCell ref="E88:E89"/>
    <mergeCell ref="D88:D89"/>
    <mergeCell ref="C88:C89"/>
    <mergeCell ref="B88:B89"/>
    <mergeCell ref="N59:N76"/>
    <mergeCell ref="N77:N80"/>
    <mergeCell ref="M81:M83"/>
    <mergeCell ref="N81:N83"/>
    <mergeCell ref="M9:M12"/>
    <mergeCell ref="M13:M17"/>
    <mergeCell ref="M18:M19"/>
    <mergeCell ref="M20:M23"/>
    <mergeCell ref="M51:M54"/>
    <mergeCell ref="M59:M76"/>
    <mergeCell ref="M77:M80"/>
    <mergeCell ref="N9:N12"/>
    <mergeCell ref="N18:N19"/>
    <mergeCell ref="N20:N23"/>
    <mergeCell ref="N24:N25"/>
    <mergeCell ref="N34:N38"/>
    <mergeCell ref="N41:N44"/>
    <mergeCell ref="N45:N46"/>
    <mergeCell ref="N51:N54"/>
    <mergeCell ref="N47:N49"/>
    <mergeCell ref="L95:L99"/>
    <mergeCell ref="L9:L12"/>
    <mergeCell ref="L13:L17"/>
    <mergeCell ref="L18:L19"/>
    <mergeCell ref="L20:L23"/>
    <mergeCell ref="L24:L25"/>
    <mergeCell ref="L77:L80"/>
    <mergeCell ref="L81:L83"/>
    <mergeCell ref="M24:M25"/>
    <mergeCell ref="M34:M38"/>
    <mergeCell ref="M41:M44"/>
    <mergeCell ref="M45:M46"/>
    <mergeCell ref="M47:M49"/>
    <mergeCell ref="M84:M85"/>
    <mergeCell ref="L51:L54"/>
    <mergeCell ref="L59:L76"/>
    <mergeCell ref="L47:L49"/>
    <mergeCell ref="L84:L85"/>
    <mergeCell ref="L86:L87"/>
    <mergeCell ref="E34:E38"/>
    <mergeCell ref="L34:L38"/>
    <mergeCell ref="L41:L44"/>
    <mergeCell ref="L45:L46"/>
    <mergeCell ref="I3:I4"/>
    <mergeCell ref="H3:H4"/>
    <mergeCell ref="F3:F4"/>
    <mergeCell ref="B31:G31"/>
    <mergeCell ref="E9:E12"/>
    <mergeCell ref="E20:E23"/>
    <mergeCell ref="B13:B19"/>
    <mergeCell ref="C13:C19"/>
    <mergeCell ref="D13:D19"/>
    <mergeCell ref="E18:E19"/>
    <mergeCell ref="B20:B25"/>
    <mergeCell ref="C20:C25"/>
    <mergeCell ref="B32:N32"/>
    <mergeCell ref="B34:B38"/>
    <mergeCell ref="C34:C38"/>
    <mergeCell ref="D34:D38"/>
    <mergeCell ref="G34:G38"/>
    <mergeCell ref="E45:E46"/>
    <mergeCell ref="B39:B87"/>
    <mergeCell ref="C39:C87"/>
    <mergeCell ref="B1:N1"/>
    <mergeCell ref="B6:N6"/>
    <mergeCell ref="B7:N7"/>
    <mergeCell ref="B93:N93"/>
    <mergeCell ref="B148:N148"/>
    <mergeCell ref="L3:L4"/>
    <mergeCell ref="N3:N4"/>
    <mergeCell ref="K3:K4"/>
    <mergeCell ref="D3:D4"/>
    <mergeCell ref="M3:M4"/>
    <mergeCell ref="B3:B4"/>
    <mergeCell ref="B147:G147"/>
    <mergeCell ref="C8:C12"/>
    <mergeCell ref="D8:D12"/>
    <mergeCell ref="B8:B12"/>
    <mergeCell ref="E13:E17"/>
    <mergeCell ref="C3:C4"/>
    <mergeCell ref="E3:E4"/>
    <mergeCell ref="D20:D25"/>
    <mergeCell ref="E24:E25"/>
    <mergeCell ref="B26:G26"/>
    <mergeCell ref="B27:N27"/>
    <mergeCell ref="G3:G4"/>
    <mergeCell ref="J3:J4"/>
    <mergeCell ref="B513:N513"/>
    <mergeCell ref="B303:B304"/>
    <mergeCell ref="C303:C304"/>
    <mergeCell ref="D303:D304"/>
    <mergeCell ref="E303:E304"/>
    <mergeCell ref="L303:L304"/>
    <mergeCell ref="M303:M304"/>
    <mergeCell ref="M287:M289"/>
    <mergeCell ref="B478:N478"/>
    <mergeCell ref="E479:E483"/>
    <mergeCell ref="B499:G499"/>
    <mergeCell ref="B500:N500"/>
    <mergeCell ref="B510:G510"/>
    <mergeCell ref="B512:G512"/>
    <mergeCell ref="M479:M483"/>
    <mergeCell ref="L479:L483"/>
    <mergeCell ref="B492:G492"/>
    <mergeCell ref="B493:N493"/>
    <mergeCell ref="D287:D289"/>
    <mergeCell ref="G287:G289"/>
    <mergeCell ref="E400:E401"/>
    <mergeCell ref="N293:N294"/>
    <mergeCell ref="N290:N292"/>
    <mergeCell ref="B381:B387"/>
    <mergeCell ref="B514:N514"/>
    <mergeCell ref="B516:B535"/>
    <mergeCell ref="C516:C535"/>
    <mergeCell ref="D516:D535"/>
    <mergeCell ref="E516:E527"/>
    <mergeCell ref="L516:L527"/>
    <mergeCell ref="M516:M527"/>
    <mergeCell ref="N516:N527"/>
    <mergeCell ref="E528:E535"/>
    <mergeCell ref="G528:G535"/>
    <mergeCell ref="L528:L535"/>
    <mergeCell ref="M528:M535"/>
    <mergeCell ref="N528:N535"/>
    <mergeCell ref="M575:M577"/>
    <mergeCell ref="M560:M573"/>
    <mergeCell ref="B536:G536"/>
    <mergeCell ref="B537:N537"/>
    <mergeCell ref="B541:B559"/>
    <mergeCell ref="C541:C559"/>
    <mergeCell ref="D541:D559"/>
    <mergeCell ref="E541:E559"/>
    <mergeCell ref="L541:L559"/>
    <mergeCell ref="M541:M559"/>
    <mergeCell ref="N541:N559"/>
    <mergeCell ref="G548:G552"/>
    <mergeCell ref="B560:B573"/>
    <mergeCell ref="C560:C573"/>
    <mergeCell ref="D560:D573"/>
    <mergeCell ref="E560:E573"/>
    <mergeCell ref="L560:L573"/>
    <mergeCell ref="G569:G573"/>
    <mergeCell ref="B575:B577"/>
    <mergeCell ref="C575:C577"/>
    <mergeCell ref="D575:D577"/>
    <mergeCell ref="E575:E577"/>
    <mergeCell ref="G575:G577"/>
    <mergeCell ref="L575:L577"/>
    <mergeCell ref="B579:B580"/>
    <mergeCell ref="C579:C580"/>
    <mergeCell ref="D579:D580"/>
    <mergeCell ref="B584:G584"/>
    <mergeCell ref="B585:N585"/>
    <mergeCell ref="B586:B588"/>
    <mergeCell ref="C586:C588"/>
    <mergeCell ref="D586:D588"/>
    <mergeCell ref="E586:E588"/>
    <mergeCell ref="G586:G588"/>
    <mergeCell ref="L586:L588"/>
    <mergeCell ref="M586:M588"/>
    <mergeCell ref="N586:N588"/>
    <mergeCell ref="B589:B595"/>
    <mergeCell ref="C589:C595"/>
    <mergeCell ref="D589:D595"/>
    <mergeCell ref="E589:E595"/>
    <mergeCell ref="G589:G595"/>
    <mergeCell ref="L589:L595"/>
    <mergeCell ref="M589:M595"/>
    <mergeCell ref="N589:N595"/>
    <mergeCell ref="B596:B609"/>
    <mergeCell ref="C596:C609"/>
    <mergeCell ref="D596:D609"/>
    <mergeCell ref="E596:E609"/>
    <mergeCell ref="G596:G609"/>
    <mergeCell ref="L596:L609"/>
    <mergeCell ref="M596:M609"/>
    <mergeCell ref="N596:N609"/>
    <mergeCell ref="B610:B619"/>
    <mergeCell ref="C610:C619"/>
    <mergeCell ref="D610:D619"/>
    <mergeCell ref="E610:E619"/>
    <mergeCell ref="G610:G619"/>
    <mergeCell ref="L610:L619"/>
    <mergeCell ref="M610:M619"/>
    <mergeCell ref="N610:N619"/>
    <mergeCell ref="B620:B624"/>
    <mergeCell ref="C620:C624"/>
    <mergeCell ref="E620:E624"/>
    <mergeCell ref="G620:G624"/>
    <mergeCell ref="L620:L624"/>
    <mergeCell ref="M620:M624"/>
    <mergeCell ref="N620:N624"/>
    <mergeCell ref="D620:D624"/>
    <mergeCell ref="C625:C638"/>
    <mergeCell ref="D625:D638"/>
    <mergeCell ref="E625:E638"/>
    <mergeCell ref="G625:G638"/>
    <mergeCell ref="L625:L638"/>
    <mergeCell ref="M625:M638"/>
    <mergeCell ref="N625:N638"/>
    <mergeCell ref="B639:B641"/>
    <mergeCell ref="C639:C641"/>
    <mergeCell ref="D639:D641"/>
    <mergeCell ref="E639:E641"/>
    <mergeCell ref="G639:G641"/>
    <mergeCell ref="L639:L641"/>
    <mergeCell ref="M639:M641"/>
    <mergeCell ref="N639:N641"/>
    <mergeCell ref="B723:B725"/>
    <mergeCell ref="N642:N650"/>
    <mergeCell ref="B651:B659"/>
    <mergeCell ref="C651:C659"/>
    <mergeCell ref="D651:D659"/>
    <mergeCell ref="E651:E659"/>
    <mergeCell ref="G651:G659"/>
    <mergeCell ref="L651:L659"/>
    <mergeCell ref="M651:M659"/>
    <mergeCell ref="N651:N659"/>
    <mergeCell ref="L642:L650"/>
    <mergeCell ref="M642:M650"/>
    <mergeCell ref="B664:B709"/>
    <mergeCell ref="C664:C709"/>
    <mergeCell ref="D664:D709"/>
    <mergeCell ref="E664:E709"/>
    <mergeCell ref="L664:L709"/>
    <mergeCell ref="M664:M709"/>
    <mergeCell ref="L660:L663"/>
    <mergeCell ref="M660:M663"/>
    <mergeCell ref="D660:D663"/>
    <mergeCell ref="C660:C663"/>
    <mergeCell ref="B660:B663"/>
    <mergeCell ref="N797:N808"/>
    <mergeCell ref="M781:M787"/>
    <mergeCell ref="N781:N787"/>
    <mergeCell ref="E788:E796"/>
    <mergeCell ref="L788:L796"/>
    <mergeCell ref="M788:M796"/>
    <mergeCell ref="N788:N796"/>
    <mergeCell ref="N762:N765"/>
    <mergeCell ref="B762:B765"/>
    <mergeCell ref="C762:C765"/>
    <mergeCell ref="D762:D765"/>
    <mergeCell ref="E762:E765"/>
    <mergeCell ref="L762:L765"/>
    <mergeCell ref="D797:D808"/>
    <mergeCell ref="E797:E808"/>
    <mergeCell ref="L797:L808"/>
    <mergeCell ref="B781:B796"/>
    <mergeCell ref="C781:C796"/>
    <mergeCell ref="D781:D796"/>
    <mergeCell ref="E781:E787"/>
    <mergeCell ref="L781:L787"/>
    <mergeCell ref="M797:M808"/>
    <mergeCell ref="B768:B779"/>
    <mergeCell ref="C768:C779"/>
    <mergeCell ref="D768:D779"/>
    <mergeCell ref="E768:E779"/>
    <mergeCell ref="L768:L779"/>
    <mergeCell ref="M768:M779"/>
    <mergeCell ref="N768:N779"/>
    <mergeCell ref="C759:C761"/>
    <mergeCell ref="D759:D761"/>
    <mergeCell ref="E759:E761"/>
    <mergeCell ref="B759:B761"/>
    <mergeCell ref="L759:L761"/>
    <mergeCell ref="N759:N761"/>
    <mergeCell ref="M754:M765"/>
    <mergeCell ref="B754:B756"/>
    <mergeCell ref="L754:L756"/>
    <mergeCell ref="N754:N756"/>
    <mergeCell ref="B766:G766"/>
    <mergeCell ref="B767:N767"/>
    <mergeCell ref="B757:B758"/>
    <mergeCell ref="C757:C758"/>
    <mergeCell ref="D757:D758"/>
    <mergeCell ref="E757:E758"/>
    <mergeCell ref="L757:L758"/>
    <mergeCell ref="N757:N758"/>
    <mergeCell ref="L726:L751"/>
    <mergeCell ref="M726:M751"/>
    <mergeCell ref="N723:N725"/>
    <mergeCell ref="D723:D725"/>
    <mergeCell ref="N660:N662"/>
    <mergeCell ref="G664:G709"/>
    <mergeCell ref="B817:G817"/>
    <mergeCell ref="B814:G814"/>
    <mergeCell ref="B816:G816"/>
    <mergeCell ref="C754:C756"/>
    <mergeCell ref="D754:D756"/>
    <mergeCell ref="E754:E756"/>
    <mergeCell ref="B726:B735"/>
    <mergeCell ref="C726:C735"/>
    <mergeCell ref="D726:D727"/>
    <mergeCell ref="E726:E751"/>
    <mergeCell ref="D728:D729"/>
    <mergeCell ref="D730:D731"/>
    <mergeCell ref="D732:D733"/>
    <mergeCell ref="D734:D735"/>
    <mergeCell ref="B736:B751"/>
    <mergeCell ref="C736:C751"/>
    <mergeCell ref="D736:D737"/>
    <mergeCell ref="B753:N753"/>
    <mergeCell ref="M419:M441"/>
    <mergeCell ref="M442:M464"/>
    <mergeCell ref="N560:N573"/>
    <mergeCell ref="N575:N577"/>
    <mergeCell ref="N721:N722"/>
    <mergeCell ref="C400:C401"/>
    <mergeCell ref="B400:B401"/>
    <mergeCell ref="D400:D401"/>
    <mergeCell ref="B710:G710"/>
    <mergeCell ref="B711:N711"/>
    <mergeCell ref="B715:B720"/>
    <mergeCell ref="C715:C720"/>
    <mergeCell ref="D715:D720"/>
    <mergeCell ref="E715:E720"/>
    <mergeCell ref="N715:N720"/>
    <mergeCell ref="B721:B722"/>
    <mergeCell ref="C721:C722"/>
    <mergeCell ref="D721:D722"/>
    <mergeCell ref="E721:E722"/>
    <mergeCell ref="M712:M720"/>
    <mergeCell ref="L712:L720"/>
    <mergeCell ref="L721:L725"/>
    <mergeCell ref="M721:M725"/>
    <mergeCell ref="G723:G725"/>
    <mergeCell ref="B141:B142"/>
    <mergeCell ref="C141:C142"/>
    <mergeCell ref="D141:D142"/>
    <mergeCell ref="E141:E142"/>
    <mergeCell ref="G141:G142"/>
    <mergeCell ref="L126:L131"/>
    <mergeCell ref="B151:B156"/>
    <mergeCell ref="C151:C156"/>
    <mergeCell ref="D151:D156"/>
    <mergeCell ref="E151:E156"/>
    <mergeCell ref="G151:G156"/>
    <mergeCell ref="L132:L140"/>
    <mergeCell ref="L141:L142"/>
    <mergeCell ref="B132:B140"/>
    <mergeCell ref="C132:C140"/>
    <mergeCell ref="D132:D140"/>
    <mergeCell ref="E132:E140"/>
    <mergeCell ref="G132:G140"/>
    <mergeCell ref="B126:B131"/>
    <mergeCell ref="C126:C131"/>
    <mergeCell ref="D126:D131"/>
    <mergeCell ref="E126:E131"/>
    <mergeCell ref="G126:G131"/>
    <mergeCell ref="C143:C146"/>
    <mergeCell ref="B116:B120"/>
    <mergeCell ref="C116:C120"/>
    <mergeCell ref="D116:D120"/>
    <mergeCell ref="E116:E120"/>
    <mergeCell ref="G116:G120"/>
    <mergeCell ref="G121:G125"/>
    <mergeCell ref="M275:M276"/>
    <mergeCell ref="C219:C220"/>
    <mergeCell ref="B219:B220"/>
    <mergeCell ref="E264:E265"/>
    <mergeCell ref="D264:D265"/>
    <mergeCell ref="C264:C265"/>
    <mergeCell ref="B264:B265"/>
    <mergeCell ref="L264:L265"/>
    <mergeCell ref="B275:B276"/>
    <mergeCell ref="C275:C276"/>
    <mergeCell ref="L275:L276"/>
    <mergeCell ref="B223:G223"/>
    <mergeCell ref="B224:N224"/>
    <mergeCell ref="B221:G221"/>
    <mergeCell ref="D219:D220"/>
    <mergeCell ref="E219:E220"/>
    <mergeCell ref="B225:N225"/>
    <mergeCell ref="B227:B228"/>
    <mergeCell ref="N281:N283"/>
    <mergeCell ref="B232:B240"/>
    <mergeCell ref="L232:L240"/>
    <mergeCell ref="D281:D286"/>
    <mergeCell ref="B251:G251"/>
    <mergeCell ref="B252:N252"/>
    <mergeCell ref="C253:C256"/>
    <mergeCell ref="E253:E256"/>
    <mergeCell ref="L284:L286"/>
    <mergeCell ref="M284:M286"/>
    <mergeCell ref="G284:G286"/>
    <mergeCell ref="C281:C286"/>
    <mergeCell ref="B281:B286"/>
    <mergeCell ref="G281:G283"/>
    <mergeCell ref="M281:M283"/>
    <mergeCell ref="B279:N279"/>
    <mergeCell ref="B257:G257"/>
    <mergeCell ref="B258:N258"/>
    <mergeCell ref="B278:G278"/>
    <mergeCell ref="M232:M240"/>
    <mergeCell ref="B241:B249"/>
    <mergeCell ref="C241:C249"/>
    <mergeCell ref="D241:D249"/>
    <mergeCell ref="B253:B256"/>
    <mergeCell ref="B333:G333"/>
    <mergeCell ref="B334:N334"/>
    <mergeCell ref="E305:E320"/>
    <mergeCell ref="D305:D320"/>
    <mergeCell ref="M305:M320"/>
    <mergeCell ref="L305:L320"/>
    <mergeCell ref="C290:C292"/>
    <mergeCell ref="B290:B292"/>
    <mergeCell ref="D290:D292"/>
    <mergeCell ref="B215:B217"/>
    <mergeCell ref="C215:C217"/>
    <mergeCell ref="D215:D217"/>
    <mergeCell ref="E215:E217"/>
    <mergeCell ref="L484:L491"/>
    <mergeCell ref="M484:M491"/>
    <mergeCell ref="C227:C228"/>
    <mergeCell ref="D227:D228"/>
    <mergeCell ref="L227:L228"/>
    <mergeCell ref="M227:M228"/>
    <mergeCell ref="B293:B302"/>
    <mergeCell ref="C293:C302"/>
    <mergeCell ref="D293:D302"/>
    <mergeCell ref="G293:G302"/>
    <mergeCell ref="B305:B320"/>
    <mergeCell ref="C305:C320"/>
    <mergeCell ref="B222:G222"/>
    <mergeCell ref="B229:B231"/>
    <mergeCell ref="C232:C240"/>
    <mergeCell ref="M412:M415"/>
    <mergeCell ref="E287:E289"/>
    <mergeCell ref="B335:B339"/>
    <mergeCell ref="C335:C339"/>
    <mergeCell ref="B340:B349"/>
    <mergeCell ref="D740:D741"/>
    <mergeCell ref="F253:F256"/>
    <mergeCell ref="B484:B491"/>
    <mergeCell ref="C484:C491"/>
    <mergeCell ref="E484:E491"/>
    <mergeCell ref="B466:G466"/>
    <mergeCell ref="B511:G511"/>
    <mergeCell ref="N227:N228"/>
    <mergeCell ref="C323:C332"/>
    <mergeCell ref="E402:E407"/>
    <mergeCell ref="C402:C415"/>
    <mergeCell ref="B402:B415"/>
    <mergeCell ref="L412:L415"/>
    <mergeCell ref="L402:L407"/>
    <mergeCell ref="L408:L411"/>
    <mergeCell ref="M402:M406"/>
    <mergeCell ref="M408:M410"/>
    <mergeCell ref="N287:N289"/>
    <mergeCell ref="N284:N286"/>
    <mergeCell ref="C340:C349"/>
    <mergeCell ref="D340:D349"/>
    <mergeCell ref="D335:D339"/>
    <mergeCell ref="B321:G321"/>
    <mergeCell ref="B322:N322"/>
    <mergeCell ref="B815:G815"/>
    <mergeCell ref="D232:D240"/>
    <mergeCell ref="E660:E663"/>
    <mergeCell ref="D742:D743"/>
    <mergeCell ref="D744:D745"/>
    <mergeCell ref="E281:E283"/>
    <mergeCell ref="E284:E286"/>
    <mergeCell ref="C287:C289"/>
    <mergeCell ref="B287:B289"/>
    <mergeCell ref="E723:E725"/>
    <mergeCell ref="D746:D747"/>
    <mergeCell ref="D748:D749"/>
    <mergeCell ref="D738:D739"/>
    <mergeCell ref="D750:D751"/>
    <mergeCell ref="B752:G752"/>
    <mergeCell ref="B797:B808"/>
    <mergeCell ref="C797:C808"/>
    <mergeCell ref="C723:C725"/>
    <mergeCell ref="B642:B650"/>
    <mergeCell ref="C642:C650"/>
    <mergeCell ref="D642:D650"/>
    <mergeCell ref="E642:E650"/>
    <mergeCell ref="G642:G650"/>
    <mergeCell ref="B625:B638"/>
  </mergeCells>
  <phoneticPr fontId="25" type="noConversion"/>
  <hyperlinks>
    <hyperlink ref="F191" r:id="rId1" display="https://elektroteni.ru/catalog/nagrevatelnye_elementy/lentochnye_nagrevateli/lenta_engl_2m/lenta_engl_2m_0_13_220_5_2m/"/>
  </hyperlinks>
  <pageMargins left="0.7" right="0.7" top="0.75" bottom="0.75" header="0.3" footer="0.3"/>
  <pageSetup paperSize="9" scale="4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opLeftCell="A40" zoomScale="70" zoomScaleNormal="70" workbookViewId="0">
      <selection activeCell="D69" sqref="D69"/>
    </sheetView>
  </sheetViews>
  <sheetFormatPr defaultColWidth="8.85546875" defaultRowHeight="15.75" x14ac:dyDescent="0.25"/>
  <cols>
    <col min="1" max="1" width="4.7109375" style="252" customWidth="1"/>
    <col min="2" max="2" width="31" style="252" customWidth="1"/>
    <col min="3" max="3" width="23.28515625" style="252" customWidth="1"/>
    <col min="4" max="4" width="20" style="254" customWidth="1"/>
    <col min="5" max="5" width="15.7109375" style="254" customWidth="1"/>
    <col min="6" max="6" width="26.140625" style="254" customWidth="1"/>
    <col min="7" max="7" width="19.85546875" style="254" customWidth="1"/>
    <col min="8" max="8" width="19.28515625" style="254" customWidth="1"/>
    <col min="9" max="9" width="16.140625" style="254" customWidth="1"/>
    <col min="10" max="10" width="46.85546875" style="252" customWidth="1"/>
    <col min="11" max="11" width="27.5703125" style="252" customWidth="1"/>
    <col min="12" max="12" width="8.85546875" style="252"/>
    <col min="13" max="13" width="15.7109375" style="252" customWidth="1"/>
    <col min="14" max="14" width="11.28515625" style="252" bestFit="1" customWidth="1"/>
    <col min="15" max="15" width="8.85546875" style="252"/>
    <col min="16" max="16" width="11.28515625" style="252" bestFit="1" customWidth="1"/>
    <col min="17" max="17" width="12.5703125" style="252" bestFit="1" customWidth="1"/>
    <col min="18" max="16384" width="8.85546875" style="252"/>
  </cols>
  <sheetData>
    <row r="1" spans="1:10" ht="20.25" x14ac:dyDescent="0.3">
      <c r="A1" s="511" t="s">
        <v>1307</v>
      </c>
      <c r="B1" s="511"/>
      <c r="C1" s="511"/>
      <c r="D1" s="511"/>
      <c r="E1" s="511"/>
      <c r="F1" s="511"/>
      <c r="G1" s="511"/>
      <c r="H1" s="511"/>
      <c r="I1" s="511"/>
      <c r="J1" s="511"/>
    </row>
    <row r="2" spans="1:10" ht="15.75" customHeight="1" x14ac:dyDescent="0.25">
      <c r="D2" s="259"/>
      <c r="E2" s="259"/>
    </row>
    <row r="3" spans="1:10" ht="30.75" customHeight="1" x14ac:dyDescent="0.25">
      <c r="A3" s="360" t="s">
        <v>0</v>
      </c>
      <c r="B3" s="352" t="s">
        <v>1140</v>
      </c>
      <c r="C3" s="352" t="s">
        <v>1141</v>
      </c>
      <c r="D3" s="513" t="s">
        <v>1142</v>
      </c>
      <c r="E3" s="514"/>
      <c r="F3" s="508" t="s">
        <v>1308</v>
      </c>
      <c r="G3" s="509"/>
      <c r="H3" s="510"/>
      <c r="I3" s="470" t="s">
        <v>1310</v>
      </c>
      <c r="J3" s="360" t="s">
        <v>4</v>
      </c>
    </row>
    <row r="4" spans="1:10" ht="51" customHeight="1" x14ac:dyDescent="0.25">
      <c r="A4" s="362"/>
      <c r="B4" s="354"/>
      <c r="C4" s="354"/>
      <c r="D4" s="515"/>
      <c r="E4" s="516"/>
      <c r="F4" s="260" t="s">
        <v>1309</v>
      </c>
      <c r="G4" s="260" t="s">
        <v>1237</v>
      </c>
      <c r="H4" s="260" t="s">
        <v>1238</v>
      </c>
      <c r="I4" s="471"/>
      <c r="J4" s="362"/>
    </row>
    <row r="5" spans="1:10" ht="27" customHeight="1" x14ac:dyDescent="0.25">
      <c r="A5" s="499" t="s">
        <v>893</v>
      </c>
      <c r="B5" s="500"/>
      <c r="C5" s="500"/>
      <c r="D5" s="500"/>
      <c r="E5" s="500"/>
      <c r="F5" s="500"/>
      <c r="G5" s="500"/>
      <c r="H5" s="500"/>
      <c r="I5" s="500"/>
      <c r="J5" s="501"/>
    </row>
    <row r="6" spans="1:10" ht="120.6" customHeight="1" x14ac:dyDescent="0.25">
      <c r="A6" s="491">
        <v>1</v>
      </c>
      <c r="B6" s="467" t="s">
        <v>1278</v>
      </c>
      <c r="C6" s="261" t="s">
        <v>1283</v>
      </c>
      <c r="D6" s="490">
        <f>'Форма ОЗП 2021-2022'!M8+'Форма ОЗП 2021-2022'!M33+'Форма ОЗП 2021-2022'!M94+'Форма ОЗП 2021-2022'!M204</f>
        <v>9343927</v>
      </c>
      <c r="E6" s="490"/>
      <c r="F6" s="262">
        <f>1193446+64851+1263645+476018</f>
        <v>2997960</v>
      </c>
      <c r="G6" s="262">
        <f>1362725+812308+743982+725417</f>
        <v>3644432</v>
      </c>
      <c r="H6" s="262">
        <f>1202415+307813+734436+456871</f>
        <v>2701535</v>
      </c>
      <c r="I6" s="470">
        <f>D6+D7+D8+D9</f>
        <v>26387346</v>
      </c>
      <c r="J6" s="11" t="s">
        <v>1279</v>
      </c>
    </row>
    <row r="7" spans="1:10" ht="87.6" customHeight="1" x14ac:dyDescent="0.25">
      <c r="A7" s="498"/>
      <c r="B7" s="468"/>
      <c r="C7" s="261" t="s">
        <v>1284</v>
      </c>
      <c r="D7" s="490">
        <f>'Форма ОЗП 2021-2022'!M226+'Форма ОЗП 2021-2022'!M280</f>
        <v>7969611</v>
      </c>
      <c r="E7" s="490"/>
      <c r="F7" s="262">
        <f>1192724+1577697</f>
        <v>2770421</v>
      </c>
      <c r="G7" s="262">
        <f>1690139+1364520</f>
        <v>3054659</v>
      </c>
      <c r="H7" s="262">
        <f>1084081+1060450</f>
        <v>2144531</v>
      </c>
      <c r="I7" s="512"/>
      <c r="J7" s="11" t="s">
        <v>1280</v>
      </c>
    </row>
    <row r="8" spans="1:10" ht="117" customHeight="1" x14ac:dyDescent="0.25">
      <c r="A8" s="498"/>
      <c r="B8" s="468"/>
      <c r="C8" s="261" t="s">
        <v>1285</v>
      </c>
      <c r="D8" s="490">
        <f>'Форма ОЗП 2021-2022'!M475+'Форма ОЗП 2021-2022'!M476</f>
        <v>6097039</v>
      </c>
      <c r="E8" s="490"/>
      <c r="F8" s="262">
        <f>1974634+915592</f>
        <v>2890226</v>
      </c>
      <c r="G8" s="262">
        <f>1067118+508838</f>
        <v>1575956</v>
      </c>
      <c r="H8" s="262">
        <f>1111710+519147</f>
        <v>1630857</v>
      </c>
      <c r="I8" s="512"/>
      <c r="J8" s="11" t="s">
        <v>1281</v>
      </c>
    </row>
    <row r="9" spans="1:10" ht="49.15" customHeight="1" x14ac:dyDescent="0.25">
      <c r="A9" s="492"/>
      <c r="B9" s="469"/>
      <c r="C9" s="261" t="s">
        <v>1286</v>
      </c>
      <c r="D9" s="490">
        <f>'Форма ОЗП 2021-2022'!M515</f>
        <v>2976769</v>
      </c>
      <c r="E9" s="490"/>
      <c r="F9" s="262">
        <v>709139</v>
      </c>
      <c r="G9" s="262">
        <v>1481863</v>
      </c>
      <c r="H9" s="262">
        <v>785767</v>
      </c>
      <c r="I9" s="471"/>
      <c r="J9" s="11" t="s">
        <v>1282</v>
      </c>
    </row>
    <row r="10" spans="1:10" ht="49.5" customHeight="1" x14ac:dyDescent="0.25">
      <c r="A10" s="263">
        <v>2</v>
      </c>
      <c r="B10" s="264" t="s">
        <v>1202</v>
      </c>
      <c r="C10" s="11" t="s">
        <v>1145</v>
      </c>
      <c r="D10" s="508">
        <v>1200000</v>
      </c>
      <c r="E10" s="509"/>
      <c r="F10" s="509"/>
      <c r="G10" s="509"/>
      <c r="H10" s="510"/>
      <c r="I10" s="265">
        <f>D10</f>
        <v>1200000</v>
      </c>
      <c r="J10" s="261" t="s">
        <v>1287</v>
      </c>
    </row>
    <row r="11" spans="1:10" ht="45" customHeight="1" x14ac:dyDescent="0.25">
      <c r="A11" s="491">
        <v>3</v>
      </c>
      <c r="B11" s="467" t="s">
        <v>1311</v>
      </c>
      <c r="C11" s="261" t="s">
        <v>1292</v>
      </c>
      <c r="D11" s="508">
        <f>'Форма ОЗП 2021-2022'!M31</f>
        <v>563109</v>
      </c>
      <c r="E11" s="509"/>
      <c r="F11" s="509"/>
      <c r="G11" s="509"/>
      <c r="H11" s="510"/>
      <c r="I11" s="505">
        <f>D11+D12</f>
        <v>965189</v>
      </c>
      <c r="J11" s="11" t="s">
        <v>1291</v>
      </c>
    </row>
    <row r="12" spans="1:10" ht="51.6" customHeight="1" x14ac:dyDescent="0.25">
      <c r="A12" s="492"/>
      <c r="B12" s="469"/>
      <c r="C12" s="261" t="s">
        <v>1294</v>
      </c>
      <c r="D12" s="508">
        <f>'Форма ОЗП 2021-2022'!M257</f>
        <v>402080</v>
      </c>
      <c r="E12" s="509"/>
      <c r="F12" s="509"/>
      <c r="G12" s="509"/>
      <c r="H12" s="510"/>
      <c r="I12" s="507"/>
      <c r="J12" s="11" t="s">
        <v>1293</v>
      </c>
    </row>
    <row r="13" spans="1:10" ht="42.6" customHeight="1" x14ac:dyDescent="0.25">
      <c r="A13" s="491">
        <v>4</v>
      </c>
      <c r="B13" s="467" t="s">
        <v>1288</v>
      </c>
      <c r="C13" s="266" t="s">
        <v>1145</v>
      </c>
      <c r="D13" s="490">
        <v>306623</v>
      </c>
      <c r="E13" s="490"/>
      <c r="F13" s="267">
        <v>0</v>
      </c>
      <c r="G13" s="262">
        <v>222190</v>
      </c>
      <c r="H13" s="262">
        <v>84433</v>
      </c>
      <c r="I13" s="505">
        <f>D13+D14</f>
        <v>898375</v>
      </c>
      <c r="J13" s="11" t="s">
        <v>1289</v>
      </c>
    </row>
    <row r="14" spans="1:10" ht="39" customHeight="1" x14ac:dyDescent="0.25">
      <c r="A14" s="492"/>
      <c r="B14" s="469"/>
      <c r="C14" s="266" t="s">
        <v>1146</v>
      </c>
      <c r="D14" s="490">
        <v>591752</v>
      </c>
      <c r="E14" s="490"/>
      <c r="F14" s="267">
        <v>0</v>
      </c>
      <c r="G14" s="262">
        <v>428806</v>
      </c>
      <c r="H14" s="262">
        <v>162946</v>
      </c>
      <c r="I14" s="507"/>
      <c r="J14" s="11" t="s">
        <v>1290</v>
      </c>
    </row>
    <row r="15" spans="1:10" ht="45.6" customHeight="1" x14ac:dyDescent="0.25">
      <c r="A15" s="268">
        <v>5</v>
      </c>
      <c r="B15" s="269" t="s">
        <v>1296</v>
      </c>
      <c r="C15" s="266" t="s">
        <v>1146</v>
      </c>
      <c r="D15" s="490">
        <v>677942</v>
      </c>
      <c r="E15" s="490"/>
      <c r="F15" s="267">
        <v>0</v>
      </c>
      <c r="G15" s="262">
        <v>491263</v>
      </c>
      <c r="H15" s="262">
        <v>186679</v>
      </c>
      <c r="I15" s="260">
        <f>D15</f>
        <v>677942</v>
      </c>
      <c r="J15" s="11" t="s">
        <v>1295</v>
      </c>
    </row>
    <row r="16" spans="1:10" ht="52.15" customHeight="1" x14ac:dyDescent="0.25">
      <c r="A16" s="263">
        <v>6</v>
      </c>
      <c r="B16" s="261" t="s">
        <v>1300</v>
      </c>
      <c r="C16" s="266" t="s">
        <v>1145</v>
      </c>
      <c r="D16" s="490">
        <v>525547</v>
      </c>
      <c r="E16" s="490"/>
      <c r="F16" s="262">
        <v>201541</v>
      </c>
      <c r="G16" s="262">
        <v>177784</v>
      </c>
      <c r="H16" s="262">
        <v>146222</v>
      </c>
      <c r="I16" s="265">
        <f>D16</f>
        <v>525547</v>
      </c>
      <c r="J16" s="11" t="s">
        <v>1312</v>
      </c>
    </row>
    <row r="17" spans="1:13" ht="67.5" customHeight="1" x14ac:dyDescent="0.25">
      <c r="A17" s="263">
        <v>7</v>
      </c>
      <c r="B17" s="261" t="s">
        <v>1313</v>
      </c>
      <c r="C17" s="266" t="s">
        <v>1145</v>
      </c>
      <c r="D17" s="490">
        <v>1423593</v>
      </c>
      <c r="E17" s="490"/>
      <c r="F17" s="270">
        <v>0</v>
      </c>
      <c r="G17" s="262">
        <v>1031525</v>
      </c>
      <c r="H17" s="262">
        <v>395068</v>
      </c>
      <c r="I17" s="265">
        <f>D17</f>
        <v>1423593</v>
      </c>
      <c r="J17" s="268"/>
    </row>
    <row r="18" spans="1:13" ht="55.15" customHeight="1" x14ac:dyDescent="0.25">
      <c r="A18" s="491">
        <v>8</v>
      </c>
      <c r="B18" s="467" t="s">
        <v>398</v>
      </c>
      <c r="C18" s="266" t="s">
        <v>1145</v>
      </c>
      <c r="D18" s="490">
        <v>1692905</v>
      </c>
      <c r="E18" s="490"/>
      <c r="F18" s="262">
        <v>499522</v>
      </c>
      <c r="G18" s="262">
        <v>727221</v>
      </c>
      <c r="H18" s="262">
        <v>466162</v>
      </c>
      <c r="I18" s="505">
        <f>D18+D19+D20+D21</f>
        <v>4663840</v>
      </c>
      <c r="J18" s="261" t="s">
        <v>1297</v>
      </c>
    </row>
    <row r="19" spans="1:13" ht="60.6" customHeight="1" x14ac:dyDescent="0.25">
      <c r="A19" s="498"/>
      <c r="B19" s="468"/>
      <c r="C19" s="266" t="s">
        <v>1146</v>
      </c>
      <c r="D19" s="490">
        <v>2141784</v>
      </c>
      <c r="E19" s="490"/>
      <c r="F19" s="262">
        <v>695435</v>
      </c>
      <c r="G19" s="262">
        <v>856582</v>
      </c>
      <c r="H19" s="262">
        <v>589767</v>
      </c>
      <c r="I19" s="506"/>
      <c r="J19" s="261" t="s">
        <v>1299</v>
      </c>
    </row>
    <row r="20" spans="1:13" ht="48.6" customHeight="1" x14ac:dyDescent="0.25">
      <c r="A20" s="498"/>
      <c r="B20" s="468"/>
      <c r="C20" s="266" t="s">
        <v>1152</v>
      </c>
      <c r="D20" s="490">
        <v>579606</v>
      </c>
      <c r="E20" s="490"/>
      <c r="F20" s="262">
        <v>400389</v>
      </c>
      <c r="G20" s="262">
        <v>68548</v>
      </c>
      <c r="H20" s="262">
        <v>110669</v>
      </c>
      <c r="I20" s="506"/>
      <c r="J20" s="261" t="s">
        <v>1299</v>
      </c>
    </row>
    <row r="21" spans="1:13" ht="55.9" customHeight="1" x14ac:dyDescent="0.25">
      <c r="A21" s="492"/>
      <c r="B21" s="469"/>
      <c r="C21" s="266" t="s">
        <v>1149</v>
      </c>
      <c r="D21" s="490">
        <v>249545</v>
      </c>
      <c r="E21" s="490"/>
      <c r="F21" s="262">
        <v>173018</v>
      </c>
      <c r="G21" s="262">
        <v>28879</v>
      </c>
      <c r="H21" s="262">
        <v>47648</v>
      </c>
      <c r="I21" s="507"/>
      <c r="J21" s="261" t="s">
        <v>1298</v>
      </c>
    </row>
    <row r="22" spans="1:13" ht="28.15" customHeight="1" x14ac:dyDescent="0.25">
      <c r="A22" s="502" t="s">
        <v>1301</v>
      </c>
      <c r="B22" s="503"/>
      <c r="C22" s="503"/>
      <c r="D22" s="503"/>
      <c r="E22" s="503"/>
      <c r="F22" s="503"/>
      <c r="G22" s="503"/>
      <c r="H22" s="504"/>
      <c r="I22" s="271">
        <f>I18+I17+I16+I15+I13+I11+I10+I6</f>
        <v>36741832</v>
      </c>
      <c r="J22" s="268"/>
    </row>
    <row r="23" spans="1:13" ht="30" customHeight="1" x14ac:dyDescent="0.25">
      <c r="A23" s="360" t="s">
        <v>0</v>
      </c>
      <c r="B23" s="352" t="s">
        <v>1140</v>
      </c>
      <c r="C23" s="352" t="s">
        <v>1141</v>
      </c>
      <c r="D23" s="470" t="s">
        <v>1142</v>
      </c>
      <c r="E23" s="493" t="s">
        <v>1143</v>
      </c>
      <c r="F23" s="494"/>
      <c r="G23" s="494"/>
      <c r="H23" s="495"/>
      <c r="I23" s="470" t="s">
        <v>1046</v>
      </c>
      <c r="J23" s="360" t="s">
        <v>4</v>
      </c>
    </row>
    <row r="24" spans="1:13" ht="34.5" customHeight="1" x14ac:dyDescent="0.25">
      <c r="A24" s="362"/>
      <c r="B24" s="354"/>
      <c r="C24" s="354"/>
      <c r="D24" s="471"/>
      <c r="E24" s="260" t="s">
        <v>1242</v>
      </c>
      <c r="F24" s="260" t="s">
        <v>1234</v>
      </c>
      <c r="G24" s="260" t="s">
        <v>1235</v>
      </c>
      <c r="H24" s="260" t="s">
        <v>1236</v>
      </c>
      <c r="I24" s="471"/>
      <c r="J24" s="362"/>
    </row>
    <row r="25" spans="1:13" ht="20.25" customHeight="1" x14ac:dyDescent="0.25">
      <c r="A25" s="499" t="s">
        <v>1232</v>
      </c>
      <c r="B25" s="500"/>
      <c r="C25" s="500"/>
      <c r="D25" s="500"/>
      <c r="E25" s="500"/>
      <c r="F25" s="500"/>
      <c r="G25" s="500"/>
      <c r="H25" s="500"/>
      <c r="I25" s="500"/>
      <c r="J25" s="501"/>
    </row>
    <row r="26" spans="1:13" ht="33.75" customHeight="1" x14ac:dyDescent="0.25">
      <c r="A26" s="467">
        <v>9</v>
      </c>
      <c r="B26" s="467" t="s">
        <v>1144</v>
      </c>
      <c r="C26" s="266" t="s">
        <v>1145</v>
      </c>
      <c r="D26" s="272">
        <f>'Форма ОЗП 2021-2022'!K9+'Форма ОЗП 2021-2022'!K10+'Форма ОЗП 2021-2022'!K11+'Форма ОЗП 2021-2022'!K12+'Форма ОЗП 2021-2022'!K14+'Форма ОЗП 2021-2022'!K15+'Форма ОЗП 2021-2022'!K16+'Форма ОЗП 2021-2022'!K17+'Форма ОЗП 2021-2022'!K21+'Форма ОЗП 2021-2022'!K22+'Форма ОЗП 2021-2022'!K23+'Форма ОЗП 2021-2022'!K51+'Форма ОЗП 2021-2022'!K52+'Форма ОЗП 2021-2022'!K53+'Форма ОЗП 2021-2022'!K54+'Форма ОЗП 2021-2022'!K103+'Форма ОЗП 2021-2022'!K104+'Форма ОЗП 2021-2022'!K113+'Форма ОЗП 2021-2022'!K118+'Форма ОЗП 2021-2022'!K123+'Форма ОЗП 2021-2022'!K134+'Форма ОЗП 2021-2022'!K135+'Форма ОЗП 2021-2022'!K141+'Форма ОЗП 2021-2022'!K142</f>
        <v>1097624</v>
      </c>
      <c r="E26" s="272">
        <v>1</v>
      </c>
      <c r="F26" s="11" t="s">
        <v>1240</v>
      </c>
      <c r="G26" s="261">
        <v>25</v>
      </c>
      <c r="H26" s="272">
        <v>55000</v>
      </c>
      <c r="I26" s="484">
        <f>SUM(D26:D28)+SUM(H26:H28)</f>
        <v>7289778</v>
      </c>
      <c r="J26" s="487"/>
      <c r="M26" s="254"/>
    </row>
    <row r="27" spans="1:13" ht="33.75" customHeight="1" x14ac:dyDescent="0.25">
      <c r="A27" s="468"/>
      <c r="B27" s="468"/>
      <c r="C27" s="266" t="s">
        <v>1146</v>
      </c>
      <c r="D27" s="273">
        <f>'Форма ОЗП 2021-2022'!K458+'Форма ОЗП 2021-2022'!K459+'Форма ОЗП 2021-2022'!K460+'Форма ОЗП 2021-2022'!K461+'Форма ОЗП 2021-2022'!K462+'Форма ОЗП 2021-2022'!K463+'Форма ОЗП 2021-2022'!K464+'Форма ОЗП 2021-2022'!K305+'Форма ОЗП 2021-2022'!K306+'Форма ОЗП 2021-2022'!K307+'Форма ОЗП 2021-2022'!K308+'Форма ОЗП 2021-2022'!K309+'Форма ОЗП 2021-2022'!K310+'Форма ОЗП 2021-2022'!K311+'Форма ОЗП 2021-2022'!K312+'Форма ОЗП 2021-2022'!K313+'Форма ОЗП 2021-2022'!K314+'Форма ОЗП 2021-2022'!K315+'Форма ОЗП 2021-2022'!K316+'Форма ОЗП 2021-2022'!K317+'Форма ОЗП 2021-2022'!K318+'Форма ОЗП 2021-2022'!K319+'Форма ОЗП 2021-2022'!K320+'Форма ОЗП 2021-2022'!K416</f>
        <v>2989677</v>
      </c>
      <c r="E27" s="273">
        <v>1</v>
      </c>
      <c r="F27" s="11" t="s">
        <v>1239</v>
      </c>
      <c r="G27" s="261">
        <v>25</v>
      </c>
      <c r="H27" s="272">
        <f>50000+10000</f>
        <v>60000</v>
      </c>
      <c r="I27" s="485"/>
      <c r="J27" s="488"/>
    </row>
    <row r="28" spans="1:13" ht="33.75" customHeight="1" x14ac:dyDescent="0.25">
      <c r="A28" s="469"/>
      <c r="B28" s="469"/>
      <c r="C28" s="266" t="s">
        <v>1147</v>
      </c>
      <c r="D28" s="273">
        <f>'Форма ОЗП 2021-2022'!K703+'Форма ОЗП 2021-2022'!K704+'Форма ОЗП 2021-2022'!K705+'Форма ОЗП 2021-2022'!K706+'Форма ОЗП 2021-2022'!K696+'Форма ОЗП 2021-2022'!K694+'Форма ОЗП 2021-2022'!K693+'Форма ОЗП 2021-2022'!K692+'Форма ОЗП 2021-2022'!K691+'Форма ОЗП 2021-2022'!K690+'Форма ОЗП 2021-2022'!K689+'Форма ОЗП 2021-2022'!K688+'Форма ОЗП 2021-2022'!K687+'Форма ОЗП 2021-2022'!K686+'Форма ОЗП 2021-2022'!K685+'Форма ОЗП 2021-2022'!K684+'Форма ОЗП 2021-2022'!K683+'Форма ОЗП 2021-2022'!K682+'Форма ОЗП 2021-2022'!K681+'Форма ОЗП 2021-2022'!K680+'Форма ОЗП 2021-2022'!K679+'Форма ОЗП 2021-2022'!K678+'Форма ОЗП 2021-2022'!K677+'Форма ОЗП 2021-2022'!K676+'Форма ОЗП 2021-2022'!K675+'Форма ОЗП 2021-2022'!K674+'Форма ОЗП 2021-2022'!K673+'Форма ОЗП 2021-2022'!K672+'Форма ОЗП 2021-2022'!K671+'Форма ОЗП 2021-2022'!K670+'Форма ОЗП 2021-2022'!K669+'Форма ОЗП 2021-2022'!K668+'Форма ОЗП 2021-2022'!K667+'Форма ОЗП 2021-2022'!K666+'Форма ОЗП 2021-2022'!K665+'Форма ОЗП 2021-2022'!K664+'Форма ОЗП 2021-2022'!K637+'Форма ОЗП 2021-2022'!K636+'Форма ОЗП 2021-2022'!K633+'Форма ОЗП 2021-2022'!K631+'Форма ОЗП 2021-2022'!K629+'Форма ОЗП 2021-2022'!K624+'Форма ОЗП 2021-2022'!K623+'Форма ОЗП 2021-2022'!K621+'Форма ОЗП 2021-2022'!K613+'Форма ОЗП 2021-2022'!K612+'Форма ОЗП 2021-2022'!K611+'Форма ОЗП 2021-2022'!K609+'Форма ОЗП 2021-2022'!K603+'Форма ОЗП 2021-2022'!K601+'Форма ОЗП 2021-2022'!K598+'Форма ОЗП 2021-2022'!K558+'Форма ОЗП 2021-2022'!K557+'Форма ОЗП 2021-2022'!K556+'Форма ОЗП 2021-2022'!K555+'Форма ОЗП 2021-2022'!K554+'Форма ОЗП 2021-2022'!K547+'Форма ОЗП 2021-2022'!K546+'Форма ОЗП 2021-2022'!K545+'Форма ОЗП 2021-2022'!K544+'Форма ОЗП 2021-2022'!K543+'Форма ОЗП 2021-2022'!K542+'Форма ОЗП 2021-2022'!K541</f>
        <v>3027477</v>
      </c>
      <c r="E28" s="273">
        <v>1</v>
      </c>
      <c r="F28" s="11" t="s">
        <v>1241</v>
      </c>
      <c r="G28" s="261">
        <v>25</v>
      </c>
      <c r="H28" s="272">
        <f>10000+50000</f>
        <v>60000</v>
      </c>
      <c r="I28" s="486"/>
      <c r="J28" s="489"/>
    </row>
    <row r="29" spans="1:13" ht="33" customHeight="1" x14ac:dyDescent="0.25">
      <c r="A29" s="467">
        <v>10</v>
      </c>
      <c r="B29" s="467" t="s">
        <v>1148</v>
      </c>
      <c r="C29" s="266" t="s">
        <v>1145</v>
      </c>
      <c r="D29" s="272">
        <f>'Форма ОЗП 2021-2022'!K34+'Форма ОЗП 2021-2022'!K35+'Форма ОЗП 2021-2022'!K41+'Форма ОЗП 2021-2022'!K42+'Форма ОЗП 2021-2022'!K43+'Форма ОЗП 2021-2022'!K44+'Форма ОЗП 2021-2022'!K50+'Форма ОЗП 2021-2022'!K55+'Форма ОЗП 2021-2022'!K56+'Форма ОЗП 2021-2022'!K57+'Форма ОЗП 2021-2022'!K95+'Форма ОЗП 2021-2022'!K100+'Форма ОЗП 2021-2022'!K101+'Форма ОЗП 2021-2022'!K102+'Форма ОЗП 2021-2022'!K111+'Форма ОЗП 2021-2022'!K112+'Форма ОЗП 2021-2022'!K116+'Форма ОЗП 2021-2022'!K117+'Форма ОЗП 2021-2022'!K121+'Форма ОЗП 2021-2022'!K122+'Форма ОЗП 2021-2022'!K126+'Форма ОЗП 2021-2022'!K127+'Форма ОЗП 2021-2022'!K132+'Форма ОЗП 2021-2022'!K133+'Форма ОЗП 2021-2022'!K143+'Форма ОЗП 2021-2022'!K144+'Форма ОЗП 2021-2022'!K145</f>
        <v>1615956</v>
      </c>
      <c r="E29" s="272">
        <v>1</v>
      </c>
      <c r="F29" s="11" t="s">
        <v>1240</v>
      </c>
      <c r="G29" s="261">
        <v>25</v>
      </c>
      <c r="H29" s="272">
        <v>55000</v>
      </c>
      <c r="I29" s="479">
        <f>SUM(D29:D34)+SUM(H29:H34)</f>
        <v>12213491</v>
      </c>
      <c r="J29" s="476"/>
      <c r="M29" s="254"/>
    </row>
    <row r="30" spans="1:13" ht="22.5" customHeight="1" x14ac:dyDescent="0.25">
      <c r="A30" s="468"/>
      <c r="B30" s="468"/>
      <c r="C30" s="482" t="s">
        <v>1146</v>
      </c>
      <c r="D30" s="479">
        <f>'Форма ОЗП 2021-2022'!K281+'Форма ОЗП 2021-2022'!K282+'Форма ОЗП 2021-2022'!K283+'Форма ОЗП 2021-2022'!K284+'Форма ОЗП 2021-2022'!K285+'Форма ОЗП 2021-2022'!K286+'Форма ОЗП 2021-2022'!K287+'Форма ОЗП 2021-2022'!K288+'Форма ОЗП 2021-2022'!K289+'Форма ОЗП 2021-2022'!K290+'Форма ОЗП 2021-2022'!K291+'Форма ОЗП 2021-2022'!K292+'Форма ОЗП 2021-2022'!K293+'Форма ОЗП 2021-2022'!K294+'Форма ОЗП 2021-2022'!K295+'Форма ОЗП 2021-2022'!K296+'Форма ОЗП 2021-2022'!K297+'Форма ОЗП 2021-2022'!K298+'Форма ОЗП 2021-2022'!K299+'Форма ОЗП 2021-2022'!K300+'Форма ОЗП 2021-2022'!K301+'Форма ОЗП 2021-2022'!K442+'Форма ОЗП 2021-2022'!K443+'Форма ОЗП 2021-2022'!K445+'Форма ОЗП 2021-2022'!K446+'Форма ОЗП 2021-2022'!K447+'Форма ОЗП 2021-2022'!K448+'Форма ОЗП 2021-2022'!K450+'Форма ОЗП 2021-2022'!K449+'Форма ОЗП 2021-2022'!K451+'Форма ОЗП 2021-2022'!K452+'Форма ОЗП 2021-2022'!K453+'Форма ОЗП 2021-2022'!K400+'Форма ОЗП 2021-2022'!K454+'Форма ОЗП 2021-2022'!K455+'Форма ОЗП 2021-2022'!K456+'Форма ОЗП 2021-2022'!K457+'Форма ОЗП 2021-2022'!K302</f>
        <v>5384603</v>
      </c>
      <c r="E30" s="272">
        <v>4</v>
      </c>
      <c r="F30" s="11" t="s">
        <v>1243</v>
      </c>
      <c r="G30" s="261">
        <v>25</v>
      </c>
      <c r="H30" s="272">
        <f>60000*4</f>
        <v>240000</v>
      </c>
      <c r="I30" s="480"/>
      <c r="J30" s="477"/>
    </row>
    <row r="31" spans="1:13" ht="34.5" customHeight="1" x14ac:dyDescent="0.25">
      <c r="A31" s="468"/>
      <c r="B31" s="468"/>
      <c r="C31" s="483"/>
      <c r="D31" s="481"/>
      <c r="E31" s="272">
        <v>1</v>
      </c>
      <c r="F31" s="11" t="s">
        <v>1244</v>
      </c>
      <c r="G31" s="261">
        <v>25</v>
      </c>
      <c r="H31" s="272">
        <f>80000+10000</f>
        <v>90000</v>
      </c>
      <c r="I31" s="480"/>
      <c r="J31" s="477"/>
    </row>
    <row r="32" spans="1:13" ht="34.5" customHeight="1" x14ac:dyDescent="0.25">
      <c r="A32" s="468"/>
      <c r="B32" s="468"/>
      <c r="C32" s="496" t="s">
        <v>1149</v>
      </c>
      <c r="D32" s="479">
        <f>4157232</f>
        <v>4157232</v>
      </c>
      <c r="E32" s="272">
        <v>2</v>
      </c>
      <c r="F32" s="11" t="s">
        <v>1246</v>
      </c>
      <c r="G32" s="261">
        <v>25</v>
      </c>
      <c r="H32" s="272">
        <f>(80000+10000)*2</f>
        <v>180000</v>
      </c>
      <c r="I32" s="480"/>
      <c r="J32" s="477"/>
    </row>
    <row r="33" spans="1:13" ht="33" customHeight="1" x14ac:dyDescent="0.25">
      <c r="A33" s="468"/>
      <c r="B33" s="468"/>
      <c r="C33" s="497"/>
      <c r="D33" s="481"/>
      <c r="E33" s="272">
        <v>1</v>
      </c>
      <c r="F33" s="11" t="s">
        <v>1245</v>
      </c>
      <c r="G33" s="261">
        <v>25</v>
      </c>
      <c r="H33" s="272">
        <v>60000</v>
      </c>
      <c r="I33" s="480"/>
      <c r="J33" s="477"/>
    </row>
    <row r="34" spans="1:13" ht="19.5" customHeight="1" x14ac:dyDescent="0.25">
      <c r="A34" s="469"/>
      <c r="B34" s="469"/>
      <c r="C34" s="266" t="s">
        <v>1152</v>
      </c>
      <c r="D34" s="272">
        <f>'Форма ОЗП 2021-2022'!K504+'Форма ОЗП 2021-2022'!K507+'Форма ОЗП 2021-2022'!K508</f>
        <v>365700</v>
      </c>
      <c r="E34" s="272">
        <v>1</v>
      </c>
      <c r="F34" s="11" t="s">
        <v>1247</v>
      </c>
      <c r="G34" s="261">
        <v>25</v>
      </c>
      <c r="H34" s="272">
        <v>65000</v>
      </c>
      <c r="I34" s="481"/>
      <c r="J34" s="478"/>
    </row>
    <row r="35" spans="1:13" ht="32.25" customHeight="1" x14ac:dyDescent="0.25">
      <c r="A35" s="467">
        <v>11</v>
      </c>
      <c r="B35" s="467" t="s">
        <v>1150</v>
      </c>
      <c r="C35" s="266" t="s">
        <v>1145</v>
      </c>
      <c r="D35" s="272">
        <f>'Форма ОЗП 2021-2022'!K151+'Форма ОЗП 2021-2022'!K152+'Форма ОЗП 2021-2022'!K153+'Форма ОЗП 2021-2022'!K154+'Форма ОЗП 2021-2022'!K166+'Форма ОЗП 2021-2022'!K167+'Форма ОЗП 2021-2022'!K168+'Форма ОЗП 2021-2022'!K169+'Форма ОЗП 2021-2022'!K170+'Форма ОЗП 2021-2022'!K171+'Форма ОЗП 2021-2022'!K172+'Форма ОЗП 2021-2022'!K173+'Форма ОЗП 2021-2022'!K174+'Форма ОЗП 2021-2022'!K175+'Форма ОЗП 2021-2022'!K176+'Форма ОЗП 2021-2022'!K177+'Форма ОЗП 2021-2022'!K178+'Форма ОЗП 2021-2022'!K179+'Форма ОЗП 2021-2022'!K180+'Форма ОЗП 2021-2022'!K181+'Форма ОЗП 2021-2022'!K182+'Форма ОЗП 2021-2022'!K183+'Форма ОЗП 2021-2022'!K184+'Форма ОЗП 2021-2022'!K185+'Форма ОЗП 2021-2022'!K186+'Форма ОЗП 2021-2022'!K187+'Форма ОЗП 2021-2022'!K188+'Форма ОЗП 2021-2022'!K216+'Форма ОЗП 2021-2022'!K215+'Форма ОЗП 2021-2022'!K217+'Форма ОЗП 2021-2022'!K189+'Форма ОЗП 2021-2022'!K190</f>
        <v>644762</v>
      </c>
      <c r="E35" s="272">
        <v>1</v>
      </c>
      <c r="F35" s="274" t="s">
        <v>1248</v>
      </c>
      <c r="G35" s="268">
        <v>25</v>
      </c>
      <c r="H35" s="272">
        <v>110000</v>
      </c>
      <c r="I35" s="479">
        <f>SUM(D35:D38)+SUM(H35:H38)</f>
        <v>1355041</v>
      </c>
      <c r="J35" s="487"/>
      <c r="M35" s="254"/>
    </row>
    <row r="36" spans="1:13" ht="25.5" customHeight="1" x14ac:dyDescent="0.25">
      <c r="A36" s="468"/>
      <c r="B36" s="468"/>
      <c r="C36" s="266" t="s">
        <v>1146</v>
      </c>
      <c r="D36" s="272">
        <f>'Форма ОЗП 2021-2022'!K323+'Форма ОЗП 2021-2022'!K331+'Форма ОЗП 2021-2022'!K332</f>
        <v>427921</v>
      </c>
      <c r="E36" s="272">
        <v>1</v>
      </c>
      <c r="F36" s="11" t="s">
        <v>1249</v>
      </c>
      <c r="G36" s="268">
        <v>25</v>
      </c>
      <c r="H36" s="272">
        <v>10000</v>
      </c>
      <c r="I36" s="480"/>
      <c r="J36" s="488"/>
    </row>
    <row r="37" spans="1:13" ht="25.5" customHeight="1" x14ac:dyDescent="0.25">
      <c r="A37" s="468"/>
      <c r="B37" s="468"/>
      <c r="C37" s="266" t="s">
        <v>1149</v>
      </c>
      <c r="D37" s="272">
        <f>'Форма ОЗП 2021-2022'!K712+'Форма ОЗП 2021-2022'!K714+'Форма ОЗП 2021-2022'!K715+'Форма ОЗП 2021-2022'!K716+'Форма ОЗП 2021-2022'!K717+'Форма ОЗП 2021-2022'!K718+'Форма ОЗП 2021-2022'!K719+'Форма ОЗП 2021-2022'!K720</f>
        <v>61584</v>
      </c>
      <c r="E37" s="272">
        <v>1</v>
      </c>
      <c r="F37" s="11" t="s">
        <v>1250</v>
      </c>
      <c r="G37" s="268">
        <v>25</v>
      </c>
      <c r="H37" s="272">
        <v>10000</v>
      </c>
      <c r="I37" s="480"/>
      <c r="J37" s="488"/>
    </row>
    <row r="38" spans="1:13" ht="25.5" customHeight="1" x14ac:dyDescent="0.25">
      <c r="A38" s="469"/>
      <c r="B38" s="469"/>
      <c r="C38" s="266" t="s">
        <v>1152</v>
      </c>
      <c r="D38" s="272">
        <f>'Форма ОЗП 2021-2022'!K484+'Форма ОЗП 2021-2022'!K485+'Форма ОЗП 2021-2022'!K486+'Форма ОЗП 2021-2022'!K487+'Форма ОЗП 2021-2022'!K488+'Форма ОЗП 2021-2022'!K489+'Форма ОЗП 2021-2022'!K490+'Форма ОЗП 2021-2022'!K491</f>
        <v>75774</v>
      </c>
      <c r="E38" s="272">
        <v>1</v>
      </c>
      <c r="F38" s="11" t="s">
        <v>1251</v>
      </c>
      <c r="G38" s="268">
        <v>25</v>
      </c>
      <c r="H38" s="272">
        <v>15000</v>
      </c>
      <c r="I38" s="481"/>
      <c r="J38" s="489"/>
    </row>
    <row r="39" spans="1:13" ht="54.75" customHeight="1" x14ac:dyDescent="0.25">
      <c r="A39" s="467">
        <v>12</v>
      </c>
      <c r="B39" s="467" t="s">
        <v>1151</v>
      </c>
      <c r="C39" s="266" t="s">
        <v>1145</v>
      </c>
      <c r="D39" s="272">
        <f>'Форма ОЗП 2021-2022'!K13+'Форма ОЗП 2021-2022'!K20+'Форма ОЗП 2021-2022'!K39+'Форма ОЗП 2021-2022'!K40+'Форма ОЗП 2021-2022'!K45+'Форма ОЗП 2021-2022'!K46+'Форма ОЗП 2021-2022'!K58+'Форма ОЗП 2021-2022'!K84+'Форма ОЗП 2021-2022'!K85+'Форма ОЗП 2021-2022'!K86+'Форма ОЗП 2021-2022'!K87+'Форма ОЗП 2021-2022'!K88+'Форма ОЗП 2021-2022'!K89+'Форма ОЗП 2021-2022'!K90+'Форма ОЗП 2021-2022'!K157+'Форма ОЗП 2021-2022'!K158+'Форма ОЗП 2021-2022'!K159+'Форма ОЗП 2021-2022'!K160+'Форма ОЗП 2021-2022'!K161+'Форма ОЗП 2021-2022'!K162+'Форма ОЗП 2021-2022'!K163+'Форма ОЗП 2021-2022'!K218+'Форма ОЗП 2021-2022'!J164</f>
        <v>8163492</v>
      </c>
      <c r="E39" s="272">
        <v>2</v>
      </c>
      <c r="F39" s="11" t="s">
        <v>1252</v>
      </c>
      <c r="G39" s="268">
        <v>25</v>
      </c>
      <c r="H39" s="272">
        <f>2*165000</f>
        <v>330000</v>
      </c>
      <c r="I39" s="479">
        <f>SUM(D39:D42)+SUM(H39:H42)</f>
        <v>25150339</v>
      </c>
      <c r="J39" s="476"/>
      <c r="M39" s="254"/>
    </row>
    <row r="40" spans="1:13" ht="33.75" customHeight="1" x14ac:dyDescent="0.25">
      <c r="A40" s="468"/>
      <c r="B40" s="468"/>
      <c r="C40" s="275" t="s">
        <v>1146</v>
      </c>
      <c r="D40" s="276">
        <f>'Форма ОЗП 2021-2022'!K227+'Форма ОЗП 2021-2022'!K228+'Форма ОЗП 2021-2022'!K229+'Форма ОЗП 2021-2022'!K230+'Форма ОЗП 2021-2022'!K231+'Форма ОЗП 2021-2022'!K232+'Форма ОЗП 2021-2022'!K233+'Форма ОЗП 2021-2022'!K234+'Форма ОЗП 2021-2022'!K235+'Форма ОЗП 2021-2022'!K236+'Форма ОЗП 2021-2022'!K237+'Форма ОЗП 2021-2022'!K238+'Форма ОЗП 2021-2022'!K239+'Форма ОЗП 2021-2022'!K240+'Форма ОЗП 2021-2022'!K241+'Форма ОЗП 2021-2022'!K242+'Форма ОЗП 2021-2022'!K243+'Форма ОЗП 2021-2022'!K244+'Форма ОЗП 2021-2022'!K245+'Форма ОЗП 2021-2022'!K246+'Форма ОЗП 2021-2022'!K247+'Форма ОЗП 2021-2022'!K248+'Форма ОЗП 2021-2022'!K249+'Форма ОЗП 2021-2022'!K250+'Форма ОЗП 2021-2022'!K259+'Форма ОЗП 2021-2022'!K260+'Форма ОЗП 2021-2022'!K261+'Форма ОЗП 2021-2022'!K262+'Форма ОЗП 2021-2022'!K263+'Форма ОЗП 2021-2022'!K264+'Форма ОЗП 2021-2022'!K265+'Форма ОЗП 2021-2022'!K266+'Форма ОЗП 2021-2022'!K267+'Форма ОЗП 2021-2022'!K269+'Форма ОЗП 2021-2022'!K270+'Форма ОЗП 2021-2022'!K271+'Форма ОЗП 2021-2022'!K272+'Форма ОЗП 2021-2022'!K273+'Форма ОЗП 2021-2022'!K274+'Форма ОЗП 2021-2022'!K275+'Форма ОЗП 2021-2022'!K276+'Форма ОЗП 2021-2022'!K277+'Форма ОЗП 2021-2022'!K324+'Форма ОЗП 2021-2022'!K325+'Форма ОЗП 2021-2022'!K326+'Форма ОЗП 2021-2022'!K327+'Форма ОЗП 2021-2022'!K328+'Форма ОЗП 2021-2022'!K329+'Форма ОЗП 2021-2022'!K330</f>
        <v>11000497</v>
      </c>
      <c r="E40" s="272">
        <v>2</v>
      </c>
      <c r="F40" s="11" t="s">
        <v>1253</v>
      </c>
      <c r="G40" s="268">
        <v>25</v>
      </c>
      <c r="H40" s="276">
        <f>2*170000</f>
        <v>340000</v>
      </c>
      <c r="I40" s="480"/>
      <c r="J40" s="477"/>
    </row>
    <row r="41" spans="1:13" ht="46.5" customHeight="1" x14ac:dyDescent="0.25">
      <c r="A41" s="468"/>
      <c r="B41" s="468"/>
      <c r="C41" s="266" t="s">
        <v>1152</v>
      </c>
      <c r="D41" s="272">
        <f>'Форма ОЗП 2021-2022'!K470+'Форма ОЗП 2021-2022'!K471+'Форма ОЗП 2021-2022'!K472+'Форма ОЗП 2021-2022'!K503+'Форма ОЗП 2021-2022'!K501+'Форма ОЗП 2021-2022'!K479+'Форма ОЗП 2021-2022'!K480+'Форма ОЗП 2021-2022'!K481+'Форма ОЗП 2021-2022'!K482+'Форма ОЗП 2021-2022'!K483</f>
        <v>1011531</v>
      </c>
      <c r="E41" s="272">
        <v>1</v>
      </c>
      <c r="F41" s="11" t="s">
        <v>1255</v>
      </c>
      <c r="G41" s="268">
        <v>25</v>
      </c>
      <c r="H41" s="272">
        <f>110000+65000</f>
        <v>175000</v>
      </c>
      <c r="I41" s="480"/>
      <c r="J41" s="477"/>
    </row>
    <row r="42" spans="1:13" ht="48.75" customHeight="1" x14ac:dyDescent="0.25">
      <c r="A42" s="469"/>
      <c r="B42" s="469"/>
      <c r="C42" s="266" t="s">
        <v>1149</v>
      </c>
      <c r="D42" s="272">
        <f>'Форма ОЗП 2021-2022'!K516+'Форма ОЗП 2021-2022'!K517+'Форма ОЗП 2021-2022'!K518+'Форма ОЗП 2021-2022'!K519+'Форма ОЗП 2021-2022'!K520+'Форма ОЗП 2021-2022'!K521+'Форма ОЗП 2021-2022'!K522+'Форма ОЗП 2021-2022'!K523+'Форма ОЗП 2021-2022'!K524+'Форма ОЗП 2021-2022'!K525+'Форма ОЗП 2021-2022'!K526+'Форма ОЗП 2021-2022'!K527+'Форма ОЗП 2021-2022'!K538+'Форма ОЗП 2021-2022'!K539+'Форма ОЗП 2021-2022'!K540+'Форма ОЗП 2021-2022'!K574+'Форма ОЗП 2021-2022'!K575+'Форма ОЗП 2021-2022'!K576+'Форма ОЗП 2021-2022'!K577+'Форма ОЗП 2021-2022'!K578+'Форма ОЗП 2021-2022'!K579+'Форма ОЗП 2021-2022'!K580+'Форма ОЗП 2021-2022'!K581+'Форма ОЗП 2021-2022'!K582+'Форма ОЗП 2021-2022'!K713+'Форма ОЗП 2021-2022'!K721+'Форма ОЗП 2021-2022'!K722+'Форма ОЗП 2021-2022'!K723+'Форма ОЗП 2021-2022'!K724+'Форма ОЗП 2021-2022'!K725</f>
        <v>3789819</v>
      </c>
      <c r="E42" s="272">
        <v>2</v>
      </c>
      <c r="F42" s="11" t="s">
        <v>1254</v>
      </c>
      <c r="G42" s="268">
        <v>25</v>
      </c>
      <c r="H42" s="272">
        <f>170000*2</f>
        <v>340000</v>
      </c>
      <c r="I42" s="481"/>
      <c r="J42" s="478"/>
    </row>
    <row r="43" spans="1:13" ht="33" customHeight="1" x14ac:dyDescent="0.25">
      <c r="A43" s="467">
        <v>13</v>
      </c>
      <c r="B43" s="467" t="s">
        <v>1153</v>
      </c>
      <c r="C43" s="266" t="s">
        <v>1145</v>
      </c>
      <c r="D43" s="272">
        <f>'Форма ОЗП 2021-2022'!K18+'Форма ОЗП 2021-2022'!K19+'Форма ОЗП 2021-2022'!K24+'Форма ОЗП 2021-2022'!K25+'Форма ОЗП 2021-2022'!K36+'Форма ОЗП 2021-2022'!K37+'Форма ОЗП 2021-2022'!K38+'Форма ОЗП 2021-2022'!K47+'Форма ОЗП 2021-2022'!K48+'Форма ОЗП 2021-2022'!K49+'Форма ОЗП 2021-2022'!K59+'Форма ОЗП 2021-2022'!K60+'Форма ОЗП 2021-2022'!K61+'Форма ОЗП 2021-2022'!K62+'Форма ОЗП 2021-2022'!K63+'Форма ОЗП 2021-2022'!K64+'Форма ОЗП 2021-2022'!K65+'Форма ОЗП 2021-2022'!K66+'Форма ОЗП 2021-2022'!K67+'Форма ОЗП 2021-2022'!K68+'Форма ОЗП 2021-2022'!K69+'Форма ОЗП 2021-2022'!K70+'Форма ОЗП 2021-2022'!K71+'Форма ОЗП 2021-2022'!K72+'Форма ОЗП 2021-2022'!K73+'Форма ОЗП 2021-2022'!K74+'Форма ОЗП 2021-2022'!K75+'Форма ОЗП 2021-2022'!K76+'Форма ОЗП 2021-2022'!K77+'Форма ОЗП 2021-2022'!K78+'Форма ОЗП 2021-2022'!K79+'Форма ОЗП 2021-2022'!K80+'Форма ОЗП 2021-2022'!K81+'Форма ОЗП 2021-2022'!K82+'Форма ОЗП 2021-2022'!K83+'Форма ОЗП 2021-2022'!K91+'Форма ОЗП 2021-2022'!K96+'Форма ОЗП 2021-2022'!K97+'Форма ОЗП 2021-2022'!K98+'Форма ОЗП 2021-2022'!K105+'Форма ОЗП 2021-2022'!K106+'Форма ОЗП 2021-2022'!K107+'Форма ОЗП 2021-2022'!K108+'Форма ОЗП 2021-2022'!K109+'Форма ОЗП 2021-2022'!K114+'Форма ОЗП 2021-2022'!K115+'Форма ОЗП 2021-2022'!K119+'Форма ОЗП 2021-2022'!K120+'Форма ОЗП 2021-2022'!K124+'Форма ОЗП 2021-2022'!K125+'Форма ОЗП 2021-2022'!K128+'Форма ОЗП 2021-2022'!K129+'Форма ОЗП 2021-2022'!K130+'Форма ОЗП 2021-2022'!K136+'Форма ОЗП 2021-2022'!K137+'Форма ОЗП 2021-2022'!K138+'Форма ОЗП 2021-2022'!K139+'Форма ОЗП 2021-2022'!K155+'Форма ОЗП 2021-2022'!K156+'Форма ОЗП 2021-2022'!K191+'Форма ОЗП 2021-2022'!K206+'Форма ОЗП 2021-2022'!K207+'Форма ОЗП 2021-2022'!K208+'Форма ОЗП 2021-2022'!K209+'Форма ОЗП 2021-2022'!K210+'Форма ОЗП 2021-2022'!K211+'Форма ОЗП 2021-2022'!K212+'Форма ОЗП 2021-2022'!K219+'Форма ОЗП 2021-2022'!K220+'Форма ОЗП 2021-2022'!K146</f>
        <v>1843008</v>
      </c>
      <c r="E43" s="272">
        <v>1</v>
      </c>
      <c r="F43" s="11" t="s">
        <v>1240</v>
      </c>
      <c r="G43" s="268">
        <v>25</v>
      </c>
      <c r="H43" s="272">
        <f>55000</f>
        <v>55000</v>
      </c>
      <c r="I43" s="479">
        <f>SUM(D43:D47)+SUM(H43:H47)</f>
        <v>8527746</v>
      </c>
      <c r="J43" s="476"/>
      <c r="M43" s="254"/>
    </row>
    <row r="44" spans="1:13" ht="28.5" customHeight="1" x14ac:dyDescent="0.25">
      <c r="A44" s="468"/>
      <c r="B44" s="468"/>
      <c r="C44" s="266" t="s">
        <v>1146</v>
      </c>
      <c r="D44" s="272">
        <f>'Форма ОЗП 2021-2022'!K402+'Форма ОЗП 2021-2022'!K403+'Форма ОЗП 2021-2022'!K404+'Форма ОЗП 2021-2022'!K405+'Форма ОЗП 2021-2022'!K406+'Форма ОЗП 2021-2022'!K408+'Форма ОЗП 2021-2022'!K409+'Форма ОЗП 2021-2022'!K410+'Форма ОЗП 2021-2022'!K412+'Форма ОЗП 2021-2022'!K413+'Форма ОЗП 2021-2022'!K414+'Форма ОЗП 2021-2022'!K415+'Форма ОЗП 2021-2022'!K419+'Форма ОЗП 2021-2022'!K420+'Форма ОЗП 2021-2022'!K421+'Форма ОЗП 2021-2022'!K422+'Форма ОЗП 2021-2022'!K423+'Форма ОЗП 2021-2022'!K424+'Форма ОЗП 2021-2022'!K425+'Форма ОЗП 2021-2022'!K426+'Форма ОЗП 2021-2022'!K427+'Форма ОЗП 2021-2022'!K428+'Форма ОЗП 2021-2022'!K429+'Форма ОЗП 2021-2022'!K430+'Форма ОЗП 2021-2022'!K431+'Форма ОЗП 2021-2022'!K432+'Форма ОЗП 2021-2022'!K433+'Форма ОЗП 2021-2022'!K435+'Форма ОЗП 2021-2022'!K436+'Форма ОЗП 2021-2022'!K437+'Форма ОЗП 2021-2022'!K438+'Форма ОЗП 2021-2022'!K439+'Форма ОЗП 2021-2022'!K440+'Форма ОЗП 2021-2022'!K441</f>
        <v>3340980</v>
      </c>
      <c r="E44" s="272">
        <v>3</v>
      </c>
      <c r="F44" s="11" t="s">
        <v>1239</v>
      </c>
      <c r="G44" s="268">
        <v>25</v>
      </c>
      <c r="H44" s="272">
        <v>60000</v>
      </c>
      <c r="I44" s="480"/>
      <c r="J44" s="477"/>
    </row>
    <row r="45" spans="1:13" ht="31.5" customHeight="1" x14ac:dyDescent="0.25">
      <c r="A45" s="468"/>
      <c r="B45" s="468"/>
      <c r="C45" s="482" t="s">
        <v>1149</v>
      </c>
      <c r="D45" s="479">
        <f>'Форма ОЗП 2021-2022'!K528+'Форма ОЗП 2021-2022'!K529+'Форма ОЗП 2021-2022'!K530+'Форма ОЗП 2021-2022'!K531+'Форма ОЗП 2021-2022'!K535+'Форма ОЗП 2021-2022'!K548+'Форма ОЗП 2021-2022'!K549+'Форма ОЗП 2021-2022'!K550+'Форма ОЗП 2021-2022'!K551+'Форма ОЗП 2021-2022'!K552+'Форма ОЗП 2021-2022'!K553+'Форма ОЗП 2021-2022'!K559+'Форма ОЗП 2021-2022'!K560+'Форма ОЗП 2021-2022'!K561+'Форма ОЗП 2021-2022'!K562+'Форма ОЗП 2021-2022'!K563+'Форма ОЗП 2021-2022'!K564+'Форма ОЗП 2021-2022'!K565+'Форма ОЗП 2021-2022'!K566+'Форма ОЗП 2021-2022'!K567+'Форма ОЗП 2021-2022'!K568+'Форма ОЗП 2021-2022'!K569+'Форма ОЗП 2021-2022'!K570+'Форма ОЗП 2021-2022'!K571+'Форма ОЗП 2021-2022'!K572+'Форма ОЗП 2021-2022'!K573+'Форма ОЗП 2021-2022'!K583+'Форма ОЗП 2021-2022'!K586+'Форма ОЗП 2021-2022'!K587+'Форма ОЗП 2021-2022'!K588+'Форма ОЗП 2021-2022'!K593+'Форма ОЗП 2021-2022'!K594+'Форма ОЗП 2021-2022'!K595+'Форма ОЗП 2021-2022'!K599+'Форма ОЗП 2021-2022'!K602+'Форма ОЗП 2021-2022'!K604+'Форма ОЗП 2021-2022'!K605+'Форма ОЗП 2021-2022'!K608+'Форма ОЗП 2021-2022'!K614+'Форма ОЗП 2021-2022'!K616+'Форма ОЗП 2021-2022'!K617+'Форма ОЗП 2021-2022'!K620+'Форма ОЗП 2021-2022'!K626+'Форма ОЗП 2021-2022'!K627+'Форма ОЗП 2021-2022'!K630+'Форма ОЗП 2021-2022'!K634+'Форма ОЗП 2021-2022'!K639+'Форма ОЗП 2021-2022'!K640+'Форма ОЗП 2021-2022'!K641+'Форма ОЗП 2021-2022'!K642+'Форма ОЗП 2021-2022'!K643+'Форма ОЗП 2021-2022'!K648+'Форма ОЗП 2021-2022'!K649+'Форма ОЗП 2021-2022'!K650+'Форма ОЗП 2021-2022'!K651+'Форма ОЗП 2021-2022'!K653+'Форма ОЗП 2021-2022'!K654+'Форма ОЗП 2021-2022'!K655+'Форма ОЗП 2021-2022'!K695+'Форма ОЗП 2021-2022'!K701+'Форма ОЗП 2021-2022'!K702+'Форма ОЗП 2021-2022'!K707+'Форма ОЗП 2021-2022'!K708+'Форма ОЗП 2021-2022'!K709+'Форма ОЗП 2021-2022'!K726+'Форма ОЗП 2021-2022'!K727+'Форма ОЗП 2021-2022'!K728+'Форма ОЗП 2021-2022'!K729+'Форма ОЗП 2021-2022'!K730+'Форма ОЗП 2021-2022'!K731+'Форма ОЗП 2021-2022'!K732+'Форма ОЗП 2021-2022'!K733+'Форма ОЗП 2021-2022'!K734+'Форма ОЗП 2021-2022'!K735+'Форма ОЗП 2021-2022'!K736+'Форма ОЗП 2021-2022'!K737+'Форма ОЗП 2021-2022'!K738+'Форма ОЗП 2021-2022'!K739+'Форма ОЗП 2021-2022'!K740+'Форма ОЗП 2021-2022'!K741+'Форма ОЗП 2021-2022'!K742+'Форма ОЗП 2021-2022'!K743+'Форма ОЗП 2021-2022'!K744+'Форма ОЗП 2021-2022'!K745+'Форма ОЗП 2021-2022'!K746+'Форма ОЗП 2021-2022'!K747+'Форма ОЗП 2021-2022'!K748+'Форма ОЗП 2021-2022'!K749+'Форма ОЗП 2021-2022'!K750+'Форма ОЗП 2021-2022'!K751+'Форма ОЗП 2021-2022'!K768+'Форма ОЗП 2021-2022'!K769+'Форма ОЗП 2021-2022'!K770+'Форма ОЗП 2021-2022'!K771+'Форма ОЗП 2021-2022'!K772+'Форма ОЗП 2021-2022'!K773+'Форма ОЗП 2021-2022'!K774+'Форма ОЗП 2021-2022'!K775+'Форма ОЗП 2021-2022'!K776+'Форма ОЗП 2021-2022'!K777+'Форма ОЗП 2021-2022'!K778+'Форма ОЗП 2021-2022'!K779+'Форма ОЗП 2021-2022'!K780+'Форма ОЗП 2021-2022'!K783+'Форма ОЗП 2021-2022'!K784+'Форма ОЗП 2021-2022'!K785+'Форма ОЗП 2021-2022'!K786+'Форма ОЗП 2021-2022'!K788+'Форма ОЗП 2021-2022'!K789+'Форма ОЗП 2021-2022'!K790+'Форма ОЗП 2021-2022'!K791+'Форма ОЗП 2021-2022'!K795+'Форма ОЗП 2021-2022'!K796+'Форма ОЗП 2021-2022'!K797+'Форма ОЗП 2021-2022'!K798+'Форма ОЗП 2021-2022'!K799+'Форма ОЗП 2021-2022'!K813</f>
        <v>2933518</v>
      </c>
      <c r="E45" s="272">
        <v>3</v>
      </c>
      <c r="F45" s="11" t="s">
        <v>1245</v>
      </c>
      <c r="G45" s="268">
        <v>25</v>
      </c>
      <c r="H45" s="272">
        <f>3*60000</f>
        <v>180000</v>
      </c>
      <c r="I45" s="480"/>
      <c r="J45" s="477"/>
    </row>
    <row r="46" spans="1:13" ht="28.5" customHeight="1" x14ac:dyDescent="0.25">
      <c r="A46" s="468"/>
      <c r="B46" s="468"/>
      <c r="C46" s="483"/>
      <c r="D46" s="481"/>
      <c r="E46" s="272">
        <v>7</v>
      </c>
      <c r="F46" s="11" t="s">
        <v>1250</v>
      </c>
      <c r="G46" s="268">
        <v>25</v>
      </c>
      <c r="H46" s="272">
        <f>7*10000</f>
        <v>70000</v>
      </c>
      <c r="I46" s="480"/>
      <c r="J46" s="477"/>
    </row>
    <row r="47" spans="1:13" ht="28.5" customHeight="1" x14ac:dyDescent="0.25">
      <c r="A47" s="469"/>
      <c r="B47" s="469"/>
      <c r="C47" s="266" t="s">
        <v>1152</v>
      </c>
      <c r="D47" s="272">
        <f>'Форма ОЗП 2021-2022'!K505+'Форма ОЗП 2021-2022'!K506+'Форма ОЗП 2021-2022'!K509</f>
        <v>35240</v>
      </c>
      <c r="E47" s="272">
        <v>1</v>
      </c>
      <c r="F47" s="11" t="s">
        <v>1251</v>
      </c>
      <c r="G47" s="268">
        <v>25</v>
      </c>
      <c r="H47" s="272">
        <v>10000</v>
      </c>
      <c r="I47" s="481"/>
      <c r="J47" s="478"/>
    </row>
    <row r="48" spans="1:13" ht="37.5" customHeight="1" x14ac:dyDescent="0.25">
      <c r="A48" s="467">
        <v>14</v>
      </c>
      <c r="B48" s="467" t="s">
        <v>1154</v>
      </c>
      <c r="C48" s="266" t="s">
        <v>1145</v>
      </c>
      <c r="D48" s="272">
        <f>'Форма ОЗП 2021-2022'!K99+'Форма ОЗП 2021-2022'!K110+'Форма ОЗП 2021-2022'!K131+'Форма ОЗП 2021-2022'!K140</f>
        <v>499422</v>
      </c>
      <c r="E48" s="272">
        <v>3</v>
      </c>
      <c r="F48" s="11" t="s">
        <v>1240</v>
      </c>
      <c r="G48" s="268">
        <v>25</v>
      </c>
      <c r="H48" s="272">
        <f>55000*3</f>
        <v>165000</v>
      </c>
      <c r="I48" s="479">
        <f>SUM(D48:D49)+SUM(H48:H49)</f>
        <v>2116302</v>
      </c>
      <c r="J48" s="476"/>
    </row>
    <row r="49" spans="1:14" ht="24.75" customHeight="1" x14ac:dyDescent="0.25">
      <c r="A49" s="469"/>
      <c r="B49" s="469"/>
      <c r="C49" s="266" t="s">
        <v>1146</v>
      </c>
      <c r="D49" s="272">
        <f>'Форма ОЗП 2021-2022'!K303+'Форма ОЗП 2021-2022'!K304</f>
        <v>971880</v>
      </c>
      <c r="E49" s="272">
        <v>8</v>
      </c>
      <c r="F49" s="11" t="s">
        <v>1239</v>
      </c>
      <c r="G49" s="268">
        <v>25</v>
      </c>
      <c r="H49" s="272">
        <f>60000*8</f>
        <v>480000</v>
      </c>
      <c r="I49" s="481"/>
      <c r="J49" s="478"/>
    </row>
    <row r="50" spans="1:14" ht="24.75" customHeight="1" x14ac:dyDescent="0.25">
      <c r="A50" s="467">
        <v>15</v>
      </c>
      <c r="B50" s="467" t="s">
        <v>1224</v>
      </c>
      <c r="C50" s="266" t="s">
        <v>1145</v>
      </c>
      <c r="D50" s="272">
        <f>'Форма ОЗП 2021-2022'!K202</f>
        <v>199759</v>
      </c>
      <c r="E50" s="272"/>
      <c r="F50" s="11" t="s">
        <v>1265</v>
      </c>
      <c r="G50" s="268">
        <v>25</v>
      </c>
      <c r="H50" s="272">
        <v>10000</v>
      </c>
      <c r="I50" s="479">
        <f>SUM(D50:D52)+SUM(H50:H52)</f>
        <v>336517</v>
      </c>
      <c r="J50" s="277"/>
    </row>
    <row r="51" spans="1:14" ht="24.75" customHeight="1" x14ac:dyDescent="0.25">
      <c r="A51" s="468"/>
      <c r="B51" s="468"/>
      <c r="C51" s="266" t="s">
        <v>1146</v>
      </c>
      <c r="D51" s="272">
        <v>0</v>
      </c>
      <c r="E51" s="272"/>
      <c r="F51" s="11" t="s">
        <v>1266</v>
      </c>
      <c r="G51" s="268">
        <v>25</v>
      </c>
      <c r="H51" s="272">
        <v>10000</v>
      </c>
      <c r="I51" s="480"/>
      <c r="J51" s="274" t="s">
        <v>1302</v>
      </c>
    </row>
    <row r="52" spans="1:14" ht="24.75" customHeight="1" x14ac:dyDescent="0.25">
      <c r="A52" s="469"/>
      <c r="B52" s="469"/>
      <c r="C52" s="266" t="s">
        <v>1149</v>
      </c>
      <c r="D52" s="272">
        <f>'Форма ОЗП 2021-2022'!M766</f>
        <v>106758</v>
      </c>
      <c r="E52" s="272"/>
      <c r="F52" s="11" t="s">
        <v>1250</v>
      </c>
      <c r="G52" s="268">
        <v>25</v>
      </c>
      <c r="H52" s="272">
        <v>10000</v>
      </c>
      <c r="I52" s="481"/>
      <c r="J52" s="277"/>
    </row>
    <row r="53" spans="1:14" ht="18.75" x14ac:dyDescent="0.25">
      <c r="A53" s="472" t="s">
        <v>1233</v>
      </c>
      <c r="B53" s="473"/>
      <c r="C53" s="473"/>
      <c r="D53" s="473"/>
      <c r="E53" s="473"/>
      <c r="F53" s="473"/>
      <c r="G53" s="473"/>
      <c r="H53" s="474"/>
      <c r="I53" s="278">
        <f>I50+I48+I43+I39+I35+I29+I26</f>
        <v>56989214</v>
      </c>
      <c r="J53" s="5"/>
      <c r="M53" s="279"/>
      <c r="N53" s="279"/>
    </row>
    <row r="54" spans="1:14" ht="18.75" x14ac:dyDescent="0.25">
      <c r="A54" s="475" t="s">
        <v>1277</v>
      </c>
      <c r="B54" s="475"/>
      <c r="C54" s="475"/>
      <c r="D54" s="475"/>
      <c r="E54" s="475"/>
      <c r="F54" s="475"/>
      <c r="G54" s="475"/>
      <c r="H54" s="475"/>
      <c r="I54" s="278">
        <f>I53+I22</f>
        <v>93731046</v>
      </c>
      <c r="J54" s="5"/>
      <c r="M54" s="279"/>
      <c r="N54" s="279"/>
    </row>
    <row r="55" spans="1:14" ht="18.75" x14ac:dyDescent="0.25">
      <c r="A55" s="280"/>
      <c r="B55" s="280"/>
      <c r="C55" s="280"/>
      <c r="D55" s="280"/>
      <c r="E55" s="280"/>
      <c r="F55" s="280"/>
      <c r="G55" s="280"/>
      <c r="H55" s="281"/>
      <c r="I55" s="282"/>
      <c r="M55" s="279"/>
      <c r="N55" s="279"/>
    </row>
    <row r="56" spans="1:14" x14ac:dyDescent="0.25">
      <c r="A56" s="283"/>
      <c r="B56" s="283"/>
      <c r="C56" s="283"/>
      <c r="D56" s="252"/>
      <c r="E56" s="252"/>
      <c r="F56" s="252"/>
      <c r="G56" s="252"/>
      <c r="H56" s="252"/>
      <c r="I56" s="252"/>
      <c r="M56" s="284"/>
      <c r="N56" s="279"/>
    </row>
    <row r="57" spans="1:14" x14ac:dyDescent="0.25">
      <c r="A57" s="285" t="s">
        <v>1155</v>
      </c>
      <c r="B57" s="286"/>
      <c r="C57" s="286"/>
      <c r="D57" s="286"/>
      <c r="E57" s="287"/>
      <c r="F57" s="252"/>
      <c r="G57" s="252"/>
      <c r="H57" s="252"/>
      <c r="I57" s="252"/>
      <c r="M57" s="284"/>
      <c r="N57" s="279"/>
    </row>
    <row r="58" spans="1:14" x14ac:dyDescent="0.25">
      <c r="A58" s="285" t="s">
        <v>1156</v>
      </c>
      <c r="B58" s="286"/>
      <c r="C58" s="286"/>
      <c r="D58" s="286"/>
      <c r="E58" s="287"/>
      <c r="F58" s="252"/>
      <c r="G58" s="252"/>
      <c r="H58" s="252"/>
      <c r="I58" s="252"/>
      <c r="M58" s="284"/>
      <c r="N58" s="279"/>
    </row>
    <row r="59" spans="1:14" x14ac:dyDescent="0.25">
      <c r="A59" s="5" t="s">
        <v>1157</v>
      </c>
      <c r="B59" s="5"/>
      <c r="C59" s="5"/>
      <c r="D59" s="288">
        <v>135000</v>
      </c>
      <c r="E59" s="8" t="s">
        <v>1158</v>
      </c>
      <c r="F59" s="289" t="s">
        <v>1141</v>
      </c>
      <c r="G59" s="8" t="s">
        <v>1303</v>
      </c>
      <c r="H59" s="8" t="s">
        <v>1304</v>
      </c>
      <c r="I59" s="8" t="s">
        <v>1306</v>
      </c>
      <c r="J59" s="8" t="s">
        <v>1305</v>
      </c>
      <c r="K59" s="256"/>
      <c r="M59" s="284"/>
      <c r="N59" s="279"/>
    </row>
    <row r="60" spans="1:14" x14ac:dyDescent="0.25">
      <c r="A60" s="285" t="s">
        <v>1159</v>
      </c>
      <c r="B60" s="286"/>
      <c r="C60" s="287"/>
      <c r="D60" s="288">
        <v>80000</v>
      </c>
      <c r="E60" s="8" t="s">
        <v>1158</v>
      </c>
      <c r="F60" s="290" t="s">
        <v>1145</v>
      </c>
      <c r="G60" s="291">
        <f>D6+D10+D11+D13+D16+D17+D18</f>
        <v>15055704</v>
      </c>
      <c r="H60" s="255">
        <f>D26+D29+D35+D39+D43+D48+D50</f>
        <v>14064023</v>
      </c>
      <c r="I60" s="255">
        <f>H26+H29+H35+H39+H43+H48+H50</f>
        <v>780000</v>
      </c>
      <c r="J60" s="292">
        <f>G60+H60+I60</f>
        <v>29899727</v>
      </c>
      <c r="K60" s="257"/>
      <c r="M60" s="279"/>
      <c r="N60" s="279"/>
    </row>
    <row r="61" spans="1:14" x14ac:dyDescent="0.25">
      <c r="A61" s="5" t="s">
        <v>1160</v>
      </c>
      <c r="B61" s="5"/>
      <c r="C61" s="5"/>
      <c r="D61" s="288">
        <v>145000</v>
      </c>
      <c r="E61" s="8" t="s">
        <v>1158</v>
      </c>
      <c r="F61" s="290" t="s">
        <v>1146</v>
      </c>
      <c r="G61" s="291">
        <f>D7+D12+D14+D15+D19</f>
        <v>11783169</v>
      </c>
      <c r="H61" s="255">
        <f>D27+D30+D36+D40+D44+D49+D51</f>
        <v>24115558</v>
      </c>
      <c r="I61" s="255">
        <f>H27+H30+H31+H36+H40+H44+H49+H51</f>
        <v>1290000</v>
      </c>
      <c r="J61" s="292">
        <f>G61+H61+I61</f>
        <v>37188727</v>
      </c>
      <c r="K61" s="258"/>
      <c r="M61" s="284"/>
      <c r="N61" s="279"/>
    </row>
    <row r="62" spans="1:14" x14ac:dyDescent="0.25">
      <c r="A62" s="5" t="s">
        <v>1161</v>
      </c>
      <c r="B62" s="5"/>
      <c r="C62" s="5"/>
      <c r="D62" s="288">
        <v>50000</v>
      </c>
      <c r="E62" s="8" t="s">
        <v>1158</v>
      </c>
      <c r="F62" s="290" t="s">
        <v>1149</v>
      </c>
      <c r="G62" s="291">
        <f>D9+D21</f>
        <v>3226314</v>
      </c>
      <c r="H62" s="255">
        <f>D28+D32+D37+D42+D45+D52</f>
        <v>14076388</v>
      </c>
      <c r="I62" s="255">
        <f>H28+H32+H33+H37+H42+H45+H46+H52</f>
        <v>910000</v>
      </c>
      <c r="J62" s="292">
        <f>G62+H62+I62</f>
        <v>18212702</v>
      </c>
      <c r="K62" s="258"/>
      <c r="M62" s="284"/>
      <c r="N62" s="279"/>
    </row>
    <row r="63" spans="1:14" x14ac:dyDescent="0.25">
      <c r="A63" s="5" t="s">
        <v>1162</v>
      </c>
      <c r="B63" s="5"/>
      <c r="C63" s="5"/>
      <c r="D63" s="288">
        <v>10000</v>
      </c>
      <c r="E63" s="8" t="s">
        <v>1158</v>
      </c>
      <c r="F63" s="290" t="s">
        <v>1152</v>
      </c>
      <c r="G63" s="291">
        <f>D8+D20</f>
        <v>6676645</v>
      </c>
      <c r="H63" s="255">
        <f>D34+D38+D41+D47</f>
        <v>1488245</v>
      </c>
      <c r="I63" s="255">
        <f>H34+H38+H41+H47</f>
        <v>265000</v>
      </c>
      <c r="J63" s="292">
        <f>G63+H63+I63</f>
        <v>8429890</v>
      </c>
      <c r="K63" s="258"/>
      <c r="M63" s="284"/>
      <c r="N63" s="279"/>
    </row>
    <row r="64" spans="1:14" x14ac:dyDescent="0.25">
      <c r="A64" s="5" t="s">
        <v>1163</v>
      </c>
      <c r="B64" s="5"/>
      <c r="C64" s="5"/>
      <c r="D64" s="288">
        <v>10000</v>
      </c>
      <c r="E64" s="8" t="s">
        <v>1158</v>
      </c>
      <c r="F64" s="252"/>
      <c r="G64" s="254">
        <f>SUM(G60:G63)</f>
        <v>36741832</v>
      </c>
      <c r="H64" s="254">
        <f>SUM(H60:H63)</f>
        <v>53744214</v>
      </c>
      <c r="I64" s="254">
        <f>SUM(I60:I63)</f>
        <v>3245000</v>
      </c>
      <c r="J64" s="254">
        <f>SUM(J60:J63)</f>
        <v>93731046</v>
      </c>
      <c r="M64" s="284"/>
      <c r="N64" s="279"/>
    </row>
    <row r="65" spans="1:17" x14ac:dyDescent="0.25">
      <c r="A65" s="285" t="s">
        <v>1164</v>
      </c>
      <c r="B65" s="286"/>
      <c r="C65" s="287"/>
      <c r="D65" s="288">
        <v>15000</v>
      </c>
      <c r="E65" s="8" t="s">
        <v>1158</v>
      </c>
      <c r="F65" s="252"/>
      <c r="G65" s="252"/>
      <c r="H65" s="252"/>
      <c r="I65" s="253"/>
      <c r="M65" s="284"/>
      <c r="N65" s="279"/>
    </row>
    <row r="66" spans="1:17" x14ac:dyDescent="0.25">
      <c r="A66" s="285" t="s">
        <v>1165</v>
      </c>
      <c r="B66" s="286"/>
      <c r="C66" s="286"/>
      <c r="D66" s="286"/>
      <c r="E66" s="287"/>
      <c r="F66" s="252"/>
      <c r="G66" s="252"/>
      <c r="H66" s="252"/>
      <c r="M66" s="284"/>
      <c r="N66" s="279"/>
    </row>
    <row r="67" spans="1:17" x14ac:dyDescent="0.25">
      <c r="A67" s="5" t="s">
        <v>1166</v>
      </c>
      <c r="B67" s="5"/>
      <c r="C67" s="5"/>
      <c r="D67" s="288">
        <v>95000</v>
      </c>
      <c r="E67" s="8" t="s">
        <v>1158</v>
      </c>
      <c r="F67" s="252"/>
      <c r="G67" s="252"/>
      <c r="H67" s="252"/>
      <c r="M67" s="284"/>
      <c r="N67" s="279"/>
    </row>
    <row r="68" spans="1:17" x14ac:dyDescent="0.25">
      <c r="A68" s="5" t="s">
        <v>1167</v>
      </c>
      <c r="B68" s="5"/>
      <c r="C68" s="5"/>
      <c r="D68" s="288">
        <v>55000</v>
      </c>
      <c r="E68" s="8" t="s">
        <v>1158</v>
      </c>
      <c r="F68" s="252"/>
      <c r="G68" s="252"/>
      <c r="H68" s="252"/>
      <c r="M68" s="284"/>
      <c r="N68" s="279"/>
      <c r="Q68" s="254"/>
    </row>
    <row r="69" spans="1:17" x14ac:dyDescent="0.25">
      <c r="A69" s="5" t="s">
        <v>1168</v>
      </c>
      <c r="B69" s="5"/>
      <c r="C69" s="5"/>
      <c r="D69" s="288">
        <v>110000</v>
      </c>
      <c r="E69" s="8" t="s">
        <v>1158</v>
      </c>
      <c r="F69" s="252"/>
      <c r="G69" s="252"/>
      <c r="H69" s="252"/>
      <c r="M69" s="284"/>
      <c r="N69" s="279"/>
      <c r="O69" s="254"/>
      <c r="Q69" s="254"/>
    </row>
    <row r="70" spans="1:17" x14ac:dyDescent="0.25">
      <c r="A70" s="5" t="s">
        <v>1169</v>
      </c>
      <c r="B70" s="5"/>
      <c r="C70" s="5"/>
      <c r="D70" s="288">
        <v>55000</v>
      </c>
      <c r="E70" s="8" t="s">
        <v>1158</v>
      </c>
      <c r="F70" s="252"/>
      <c r="G70" s="252"/>
      <c r="H70" s="252"/>
      <c r="I70" s="252"/>
      <c r="M70" s="284"/>
      <c r="N70" s="279"/>
    </row>
    <row r="71" spans="1:17" x14ac:dyDescent="0.25">
      <c r="D71" s="252"/>
      <c r="E71" s="252"/>
      <c r="F71" s="252"/>
      <c r="G71" s="252"/>
      <c r="H71" s="252"/>
      <c r="I71" s="252"/>
      <c r="M71" s="284"/>
      <c r="N71" s="279"/>
    </row>
    <row r="72" spans="1:17" x14ac:dyDescent="0.25">
      <c r="D72" s="252"/>
      <c r="E72" s="252"/>
      <c r="F72" s="252"/>
      <c r="G72" s="252"/>
      <c r="H72" s="252"/>
      <c r="I72" s="252"/>
    </row>
    <row r="73" spans="1:17" x14ac:dyDescent="0.25">
      <c r="D73" s="252"/>
      <c r="E73" s="252"/>
      <c r="F73" s="252"/>
      <c r="G73" s="252"/>
      <c r="H73" s="252"/>
      <c r="I73" s="252"/>
    </row>
    <row r="74" spans="1:17" x14ac:dyDescent="0.25">
      <c r="D74" s="252"/>
      <c r="E74" s="252"/>
      <c r="F74" s="252"/>
      <c r="G74" s="252"/>
      <c r="H74" s="252"/>
      <c r="I74" s="252"/>
    </row>
    <row r="75" spans="1:17" x14ac:dyDescent="0.25">
      <c r="D75" s="252"/>
      <c r="E75" s="252"/>
      <c r="F75" s="252"/>
      <c r="G75" s="252"/>
      <c r="H75" s="252"/>
      <c r="I75" s="252"/>
    </row>
    <row r="76" spans="1:17" x14ac:dyDescent="0.25">
      <c r="D76" s="252"/>
      <c r="E76" s="252"/>
      <c r="F76" s="252"/>
      <c r="G76" s="252"/>
      <c r="H76" s="252"/>
      <c r="I76" s="252"/>
    </row>
    <row r="77" spans="1:17" x14ac:dyDescent="0.25">
      <c r="F77" s="252"/>
      <c r="G77" s="252"/>
      <c r="H77" s="252"/>
      <c r="I77" s="252"/>
    </row>
    <row r="78" spans="1:17" x14ac:dyDescent="0.25">
      <c r="F78" s="252"/>
      <c r="G78" s="252"/>
      <c r="H78" s="252"/>
      <c r="I78" s="252"/>
    </row>
    <row r="79" spans="1:17" x14ac:dyDescent="0.25">
      <c r="F79" s="252"/>
      <c r="G79" s="252"/>
      <c r="H79" s="252"/>
      <c r="I79" s="252"/>
    </row>
    <row r="80" spans="1:17" x14ac:dyDescent="0.25">
      <c r="F80" s="252"/>
      <c r="G80" s="252"/>
      <c r="H80" s="252"/>
      <c r="I80" s="252"/>
    </row>
    <row r="81" spans="6:9" x14ac:dyDescent="0.25">
      <c r="F81" s="252"/>
      <c r="G81" s="252"/>
      <c r="H81" s="252"/>
      <c r="I81" s="252"/>
    </row>
  </sheetData>
  <mergeCells count="81">
    <mergeCell ref="A1:J1"/>
    <mergeCell ref="I13:I14"/>
    <mergeCell ref="I11:I12"/>
    <mergeCell ref="I6:I9"/>
    <mergeCell ref="D3:E4"/>
    <mergeCell ref="F3:H3"/>
    <mergeCell ref="D14:E14"/>
    <mergeCell ref="A5:J5"/>
    <mergeCell ref="A3:A4"/>
    <mergeCell ref="B3:B4"/>
    <mergeCell ref="J3:J4"/>
    <mergeCell ref="A6:A9"/>
    <mergeCell ref="A11:A12"/>
    <mergeCell ref="B11:B12"/>
    <mergeCell ref="D6:E6"/>
    <mergeCell ref="D7:E7"/>
    <mergeCell ref="D8:E8"/>
    <mergeCell ref="C3:C4"/>
    <mergeCell ref="D10:H10"/>
    <mergeCell ref="D12:H12"/>
    <mergeCell ref="D11:H11"/>
    <mergeCell ref="I3:I4"/>
    <mergeCell ref="B35:B38"/>
    <mergeCell ref="A35:A38"/>
    <mergeCell ref="B13:B14"/>
    <mergeCell ref="A18:A21"/>
    <mergeCell ref="B18:B21"/>
    <mergeCell ref="B23:B24"/>
    <mergeCell ref="D9:E9"/>
    <mergeCell ref="D13:E13"/>
    <mergeCell ref="A25:J25"/>
    <mergeCell ref="A22:H22"/>
    <mergeCell ref="D19:E19"/>
    <mergeCell ref="D20:E20"/>
    <mergeCell ref="B6:B9"/>
    <mergeCell ref="A23:A24"/>
    <mergeCell ref="I18:I21"/>
    <mergeCell ref="I39:I42"/>
    <mergeCell ref="D30:D31"/>
    <mergeCell ref="C30:C31"/>
    <mergeCell ref="D32:D33"/>
    <mergeCell ref="C32:C33"/>
    <mergeCell ref="A13:A14"/>
    <mergeCell ref="D21:E21"/>
    <mergeCell ref="C23:C24"/>
    <mergeCell ref="E23:H23"/>
    <mergeCell ref="I23:I24"/>
    <mergeCell ref="D15:E15"/>
    <mergeCell ref="D16:E16"/>
    <mergeCell ref="A43:A47"/>
    <mergeCell ref="I26:I28"/>
    <mergeCell ref="J26:J28"/>
    <mergeCell ref="D17:E17"/>
    <mergeCell ref="D18:E18"/>
    <mergeCell ref="A26:A28"/>
    <mergeCell ref="B26:B28"/>
    <mergeCell ref="A39:A42"/>
    <mergeCell ref="B39:B42"/>
    <mergeCell ref="J29:J34"/>
    <mergeCell ref="J35:J38"/>
    <mergeCell ref="J39:J42"/>
    <mergeCell ref="B29:B34"/>
    <mergeCell ref="A29:A34"/>
    <mergeCell ref="I29:I34"/>
    <mergeCell ref="I35:I38"/>
    <mergeCell ref="B43:B47"/>
    <mergeCell ref="J23:J24"/>
    <mergeCell ref="D23:D24"/>
    <mergeCell ref="A53:H53"/>
    <mergeCell ref="A54:H54"/>
    <mergeCell ref="J43:J47"/>
    <mergeCell ref="J48:J49"/>
    <mergeCell ref="I43:I47"/>
    <mergeCell ref="I48:I49"/>
    <mergeCell ref="I50:I52"/>
    <mergeCell ref="D45:D46"/>
    <mergeCell ref="C45:C46"/>
    <mergeCell ref="A48:A49"/>
    <mergeCell ref="B48:B49"/>
    <mergeCell ref="A50:A52"/>
    <mergeCell ref="B50:B5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tabSelected="1" zoomScale="86" zoomScaleNormal="86" zoomScaleSheetLayoutView="70" workbookViewId="0">
      <pane ySplit="3" topLeftCell="A4" activePane="bottomLeft" state="frozen"/>
      <selection pane="bottomLeft" activeCell="B20" sqref="B20"/>
    </sheetView>
  </sheetViews>
  <sheetFormatPr defaultColWidth="9.140625" defaultRowHeight="18.75" x14ac:dyDescent="0.25"/>
  <cols>
    <col min="1" max="1" width="9.5703125" style="323" customWidth="1"/>
    <col min="2" max="2" width="77.42578125" style="318" bestFit="1" customWidth="1"/>
    <col min="3" max="3" width="12" style="321" customWidth="1"/>
    <col min="4" max="4" width="16.28515625" style="326" customWidth="1"/>
    <col min="5" max="7" width="20.5703125" style="320" customWidth="1"/>
    <col min="8" max="8" width="24.7109375" style="320" customWidth="1"/>
    <col min="9" max="9" width="32.140625" style="320" customWidth="1"/>
    <col min="10" max="10" width="15.5703125" style="316" customWidth="1"/>
    <col min="11" max="11" width="11.28515625" style="316" customWidth="1"/>
    <col min="12" max="12" width="11.85546875" style="316" bestFit="1" customWidth="1"/>
    <col min="13" max="14" width="9.140625" style="316"/>
    <col min="15" max="15" width="10.42578125" style="316" customWidth="1"/>
    <col min="16" max="16" width="10.7109375" style="316" customWidth="1"/>
    <col min="17" max="17" width="11.28515625" style="316" customWidth="1"/>
    <col min="18" max="18" width="9.140625" style="316"/>
    <col min="19" max="19" width="17.140625" style="316" customWidth="1"/>
    <col min="20" max="20" width="9.140625" style="316"/>
    <col min="21" max="21" width="17.28515625" style="316" bestFit="1" customWidth="1"/>
    <col min="22" max="26" width="9.140625" style="316"/>
    <col min="27" max="27" width="27.42578125" style="316" customWidth="1"/>
    <col min="28" max="28" width="16.28515625" style="316" customWidth="1"/>
    <col min="29" max="37" width="9.140625" style="316"/>
    <col min="38" max="38" width="16.85546875" style="316" customWidth="1"/>
    <col min="39" max="48" width="9.140625" style="316"/>
    <col min="49" max="49" width="16.5703125" style="316" customWidth="1"/>
    <col min="50" max="50" width="11.28515625" style="316" customWidth="1"/>
    <col min="51" max="16384" width="9.140625" style="316"/>
  </cols>
  <sheetData>
    <row r="1" spans="1:19" ht="95.25" customHeight="1" x14ac:dyDescent="0.25">
      <c r="A1" s="320"/>
      <c r="B1" s="315" t="s">
        <v>1365</v>
      </c>
      <c r="C1" s="320"/>
      <c r="D1" s="316"/>
      <c r="E1" s="522"/>
      <c r="F1" s="522"/>
      <c r="G1" s="522"/>
      <c r="H1" s="522"/>
      <c r="I1" s="523"/>
    </row>
    <row r="2" spans="1:19" x14ac:dyDescent="0.25">
      <c r="A2" s="320"/>
      <c r="B2" s="320"/>
      <c r="C2" s="320"/>
      <c r="D2" s="316"/>
    </row>
    <row r="3" spans="1:19" ht="28.5" customHeight="1" x14ac:dyDescent="0.25">
      <c r="A3" s="530" t="s">
        <v>0</v>
      </c>
      <c r="B3" s="530" t="s">
        <v>1318</v>
      </c>
      <c r="C3" s="532" t="s">
        <v>1</v>
      </c>
      <c r="D3" s="532" t="s">
        <v>2</v>
      </c>
      <c r="E3" s="534" t="s">
        <v>3</v>
      </c>
      <c r="F3" s="535"/>
      <c r="G3" s="536"/>
      <c r="H3" s="530" t="s">
        <v>1361</v>
      </c>
      <c r="I3" s="530" t="s">
        <v>1317</v>
      </c>
      <c r="O3" s="312"/>
      <c r="P3" s="312"/>
    </row>
    <row r="4" spans="1:19" ht="28.5" customHeight="1" x14ac:dyDescent="0.25">
      <c r="A4" s="531"/>
      <c r="B4" s="531"/>
      <c r="C4" s="533"/>
      <c r="D4" s="533"/>
      <c r="E4" s="313" t="s">
        <v>1362</v>
      </c>
      <c r="F4" s="313" t="s">
        <v>1363</v>
      </c>
      <c r="G4" s="313" t="s">
        <v>1364</v>
      </c>
      <c r="H4" s="531"/>
      <c r="I4" s="531"/>
      <c r="O4" s="312"/>
      <c r="P4" s="312"/>
    </row>
    <row r="5" spans="1:19" ht="27.75" customHeight="1" x14ac:dyDescent="0.25">
      <c r="A5" s="524" t="s">
        <v>1314</v>
      </c>
      <c r="B5" s="524"/>
      <c r="C5" s="524"/>
      <c r="D5" s="524"/>
      <c r="E5" s="524"/>
      <c r="F5" s="524"/>
      <c r="G5" s="524"/>
      <c r="H5" s="524"/>
      <c r="I5" s="524"/>
      <c r="N5" s="312"/>
      <c r="O5" s="312"/>
      <c r="P5" s="318"/>
      <c r="Q5" s="319"/>
      <c r="S5" s="319"/>
    </row>
    <row r="6" spans="1:19" x14ac:dyDescent="0.25">
      <c r="A6" s="314">
        <v>1</v>
      </c>
      <c r="B6" s="327" t="s">
        <v>1358</v>
      </c>
      <c r="C6" s="324" t="s">
        <v>23</v>
      </c>
      <c r="D6" s="324">
        <v>27</v>
      </c>
      <c r="E6" s="336">
        <v>16792</v>
      </c>
      <c r="F6" s="336">
        <v>16129.62</v>
      </c>
      <c r="G6" s="336">
        <f>12100+10909.091</f>
        <v>23009.091</v>
      </c>
      <c r="H6" s="336">
        <f>(E6+F6+G6)/3</f>
        <v>18643.570333333333</v>
      </c>
      <c r="I6" s="337">
        <f>H6*D6</f>
        <v>503376.39899999998</v>
      </c>
    </row>
    <row r="7" spans="1:19" x14ac:dyDescent="0.25">
      <c r="A7" s="314">
        <f>A6+1</f>
        <v>2</v>
      </c>
      <c r="B7" s="327" t="s">
        <v>1357</v>
      </c>
      <c r="C7" s="324" t="s">
        <v>23</v>
      </c>
      <c r="D7" s="324">
        <v>20</v>
      </c>
      <c r="E7" s="336">
        <v>10577</v>
      </c>
      <c r="F7" s="336">
        <v>12498.9</v>
      </c>
      <c r="G7" s="336">
        <f>6100+10909.091</f>
        <v>17009.091</v>
      </c>
      <c r="H7" s="336">
        <f t="shared" ref="H7:H10" si="0">(E7+F7+G7)/3</f>
        <v>13361.663666666667</v>
      </c>
      <c r="I7" s="337">
        <f>H7*D7</f>
        <v>267233.27333333332</v>
      </c>
      <c r="Q7" s="319"/>
    </row>
    <row r="8" spans="1:19" x14ac:dyDescent="0.25">
      <c r="A8" s="314">
        <v>3</v>
      </c>
      <c r="B8" s="327" t="s">
        <v>1356</v>
      </c>
      <c r="C8" s="324" t="s">
        <v>23</v>
      </c>
      <c r="D8" s="324">
        <v>20</v>
      </c>
      <c r="E8" s="336">
        <v>27601</v>
      </c>
      <c r="F8" s="336">
        <v>20475.259999999998</v>
      </c>
      <c r="G8" s="336">
        <f>15500+10909.091</f>
        <v>26409.091</v>
      </c>
      <c r="H8" s="336">
        <f t="shared" si="0"/>
        <v>24828.45033333333</v>
      </c>
      <c r="I8" s="337">
        <f>H8*D8</f>
        <v>496569.0066666666</v>
      </c>
      <c r="Q8" s="319"/>
    </row>
    <row r="9" spans="1:19" x14ac:dyDescent="0.25">
      <c r="A9" s="314">
        <v>4</v>
      </c>
      <c r="B9" s="327" t="s">
        <v>1347</v>
      </c>
      <c r="C9" s="324" t="s">
        <v>23</v>
      </c>
      <c r="D9" s="324">
        <v>5</v>
      </c>
      <c r="E9" s="336">
        <v>16591</v>
      </c>
      <c r="F9" s="336">
        <v>12999.1</v>
      </c>
      <c r="G9" s="336">
        <f>7000+10909.091</f>
        <v>17909.091</v>
      </c>
      <c r="H9" s="336">
        <f t="shared" si="0"/>
        <v>15833.063666666667</v>
      </c>
      <c r="I9" s="337">
        <f>H9*D9</f>
        <v>79165.318333333329</v>
      </c>
      <c r="Q9" s="319"/>
    </row>
    <row r="10" spans="1:19" ht="37.5" x14ac:dyDescent="0.25">
      <c r="A10" s="314">
        <v>5</v>
      </c>
      <c r="B10" s="330" t="s">
        <v>1348</v>
      </c>
      <c r="C10" s="324" t="s">
        <v>23</v>
      </c>
      <c r="D10" s="324">
        <v>5</v>
      </c>
      <c r="E10" s="336">
        <v>16805</v>
      </c>
      <c r="F10" s="336">
        <v>11438.72</v>
      </c>
      <c r="G10" s="336">
        <f>8840+10909.091</f>
        <v>19749.091</v>
      </c>
      <c r="H10" s="336">
        <f t="shared" si="0"/>
        <v>15997.603666666668</v>
      </c>
      <c r="I10" s="337">
        <f>H10*D10</f>
        <v>79988.018333333341</v>
      </c>
      <c r="Q10" s="319"/>
    </row>
    <row r="11" spans="1:19" ht="24" customHeight="1" x14ac:dyDescent="0.25">
      <c r="A11" s="527" t="s">
        <v>1351</v>
      </c>
      <c r="B11" s="528"/>
      <c r="C11" s="528"/>
      <c r="D11" s="528"/>
      <c r="E11" s="529"/>
      <c r="F11" s="345"/>
      <c r="G11" s="345"/>
      <c r="H11" s="345"/>
      <c r="I11" s="346">
        <f>SUM(I6:I10)</f>
        <v>1426332.0156666667</v>
      </c>
    </row>
    <row r="12" spans="1:19" ht="27.75" customHeight="1" x14ac:dyDescent="0.25">
      <c r="A12" s="525" t="s">
        <v>1315</v>
      </c>
      <c r="B12" s="525"/>
      <c r="C12" s="525"/>
      <c r="D12" s="525"/>
      <c r="E12" s="525"/>
      <c r="F12" s="525"/>
      <c r="G12" s="525"/>
      <c r="H12" s="525"/>
      <c r="I12" s="525"/>
    </row>
    <row r="13" spans="1:19" ht="37.5" x14ac:dyDescent="0.25">
      <c r="A13" s="313">
        <v>1</v>
      </c>
      <c r="B13" s="333" t="s">
        <v>1353</v>
      </c>
      <c r="C13" s="332" t="s">
        <v>23</v>
      </c>
      <c r="D13" s="332">
        <v>29</v>
      </c>
      <c r="E13" s="339">
        <v>12244</v>
      </c>
      <c r="F13" s="339">
        <v>19723.740000000002</v>
      </c>
      <c r="G13" s="347">
        <f>16100+9846.154</f>
        <v>25946.154000000002</v>
      </c>
      <c r="H13" s="336">
        <f>(E13+F13+G13)/3</f>
        <v>19304.631333333335</v>
      </c>
      <c r="I13" s="337">
        <f t="shared" ref="I13:I16" si="1">H13*D13</f>
        <v>559834.30866666674</v>
      </c>
    </row>
    <row r="14" spans="1:19" ht="37.5" x14ac:dyDescent="0.25">
      <c r="A14" s="328">
        <v>2</v>
      </c>
      <c r="B14" s="334" t="s">
        <v>1354</v>
      </c>
      <c r="C14" s="325" t="s">
        <v>23</v>
      </c>
      <c r="D14" s="325">
        <v>29</v>
      </c>
      <c r="E14" s="348">
        <v>8819</v>
      </c>
      <c r="F14" s="348">
        <v>12498.9</v>
      </c>
      <c r="G14" s="347">
        <f>6100+9846.154</f>
        <v>15946.154</v>
      </c>
      <c r="H14" s="336">
        <f t="shared" ref="H14:H16" si="2">(E14+F14+G14)/3</f>
        <v>12421.351333333334</v>
      </c>
      <c r="I14" s="337">
        <f t="shared" si="1"/>
        <v>360219.18866666668</v>
      </c>
      <c r="J14" s="329"/>
    </row>
    <row r="15" spans="1:19" ht="37.5" x14ac:dyDescent="0.25">
      <c r="A15" s="313">
        <v>3</v>
      </c>
      <c r="B15" s="335" t="s">
        <v>1355</v>
      </c>
      <c r="C15" s="325" t="s">
        <v>23</v>
      </c>
      <c r="D15" s="325">
        <v>5</v>
      </c>
      <c r="E15" s="348">
        <v>21220</v>
      </c>
      <c r="F15" s="348">
        <v>19994.580000000002</v>
      </c>
      <c r="G15" s="348">
        <f>10500+9846.154</f>
        <v>20346.154000000002</v>
      </c>
      <c r="H15" s="336">
        <f t="shared" si="2"/>
        <v>20520.244666666669</v>
      </c>
      <c r="I15" s="337">
        <f t="shared" si="1"/>
        <v>102601.22333333334</v>
      </c>
      <c r="J15" s="521"/>
    </row>
    <row r="16" spans="1:19" x14ac:dyDescent="0.25">
      <c r="A16" s="313">
        <v>4</v>
      </c>
      <c r="B16" s="334" t="s">
        <v>1359</v>
      </c>
      <c r="C16" s="325" t="s">
        <v>23</v>
      </c>
      <c r="D16" s="325">
        <v>2</v>
      </c>
      <c r="E16" s="348">
        <v>17954</v>
      </c>
      <c r="F16" s="348">
        <v>18586.7</v>
      </c>
      <c r="G16" s="348">
        <f>10500+9846.154</f>
        <v>20346.154000000002</v>
      </c>
      <c r="H16" s="336">
        <f t="shared" si="2"/>
        <v>18962.284666666666</v>
      </c>
      <c r="I16" s="337">
        <f t="shared" si="1"/>
        <v>37924.569333333333</v>
      </c>
      <c r="J16" s="521"/>
    </row>
    <row r="17" spans="1:12" ht="26.25" customHeight="1" x14ac:dyDescent="0.25">
      <c r="A17" s="526" t="s">
        <v>1316</v>
      </c>
      <c r="B17" s="526"/>
      <c r="C17" s="526"/>
      <c r="D17" s="526"/>
      <c r="E17" s="526"/>
      <c r="F17" s="344"/>
      <c r="G17" s="344"/>
      <c r="H17" s="344"/>
      <c r="I17" s="341">
        <f>I16+I15+I14+I13</f>
        <v>1060579.29</v>
      </c>
      <c r="L17" s="317"/>
    </row>
    <row r="18" spans="1:12" ht="24.75" customHeight="1" x14ac:dyDescent="0.25">
      <c r="A18" s="518" t="s">
        <v>1104</v>
      </c>
      <c r="B18" s="519"/>
      <c r="C18" s="519"/>
      <c r="D18" s="519"/>
      <c r="E18" s="519"/>
      <c r="F18" s="519"/>
      <c r="G18" s="519"/>
      <c r="H18" s="519"/>
      <c r="I18" s="520"/>
      <c r="L18" s="317"/>
    </row>
    <row r="19" spans="1:12" ht="26.25" customHeight="1" x14ac:dyDescent="0.25">
      <c r="A19" s="324">
        <v>3</v>
      </c>
      <c r="B19" s="331" t="s">
        <v>1360</v>
      </c>
      <c r="C19" s="324" t="s">
        <v>23</v>
      </c>
      <c r="D19" s="324">
        <v>20</v>
      </c>
      <c r="E19" s="338">
        <v>21255</v>
      </c>
      <c r="F19" s="339">
        <v>19994.580000000002</v>
      </c>
      <c r="G19" s="338">
        <f>10500+7568.493</f>
        <v>18068.493000000002</v>
      </c>
      <c r="H19" s="336">
        <f t="shared" ref="H19:H20" si="3">(E19+F19+G19)/3</f>
        <v>19772.691000000003</v>
      </c>
      <c r="I19" s="337">
        <f t="shared" ref="I19:I20" si="4">H19*D19</f>
        <v>395453.82000000007</v>
      </c>
      <c r="L19" s="317"/>
    </row>
    <row r="20" spans="1:12" ht="37.5" x14ac:dyDescent="0.25">
      <c r="A20" s="324">
        <v>4</v>
      </c>
      <c r="B20" s="330" t="s">
        <v>1352</v>
      </c>
      <c r="C20" s="324" t="s">
        <v>23</v>
      </c>
      <c r="D20" s="324">
        <v>12</v>
      </c>
      <c r="E20" s="338">
        <v>16535</v>
      </c>
      <c r="F20" s="339">
        <v>11438.72</v>
      </c>
      <c r="G20" s="338">
        <f>8840+7568.493</f>
        <v>16408.493000000002</v>
      </c>
      <c r="H20" s="336">
        <f t="shared" si="3"/>
        <v>14794.071000000002</v>
      </c>
      <c r="I20" s="337">
        <f t="shared" si="4"/>
        <v>177528.85200000001</v>
      </c>
      <c r="L20" s="317"/>
    </row>
    <row r="21" spans="1:12" ht="21" customHeight="1" x14ac:dyDescent="0.25">
      <c r="A21" s="517" t="s">
        <v>1349</v>
      </c>
      <c r="B21" s="517"/>
      <c r="C21" s="517"/>
      <c r="D21" s="517"/>
      <c r="E21" s="517"/>
      <c r="F21" s="343"/>
      <c r="G21" s="343"/>
      <c r="H21" s="343"/>
      <c r="I21" s="340">
        <f>SUM(I19:I20)</f>
        <v>572982.67200000002</v>
      </c>
      <c r="L21" s="317"/>
    </row>
    <row r="22" spans="1:12" ht="25.5" customHeight="1" x14ac:dyDescent="0.25">
      <c r="A22" s="475" t="s">
        <v>1350</v>
      </c>
      <c r="B22" s="475"/>
      <c r="C22" s="322"/>
      <c r="D22" s="322"/>
      <c r="E22" s="322"/>
      <c r="F22" s="322"/>
      <c r="G22" s="322"/>
      <c r="H22" s="322"/>
      <c r="I22" s="342">
        <f>I21+I17+I11</f>
        <v>3059893.9776666667</v>
      </c>
    </row>
    <row r="23" spans="1:12" ht="75" x14ac:dyDescent="0.25">
      <c r="B23" s="312" t="s">
        <v>1366</v>
      </c>
      <c r="C23" s="320"/>
      <c r="D23" s="316"/>
    </row>
    <row r="24" spans="1:12" x14ac:dyDescent="0.25">
      <c r="B24" s="316"/>
      <c r="C24" s="320"/>
      <c r="D24" s="316"/>
    </row>
    <row r="25" spans="1:12" x14ac:dyDescent="0.25">
      <c r="B25" s="316"/>
      <c r="C25" s="320"/>
      <c r="D25" s="316"/>
    </row>
    <row r="26" spans="1:12" x14ac:dyDescent="0.25">
      <c r="B26" s="316"/>
      <c r="C26" s="320"/>
      <c r="D26" s="316"/>
    </row>
    <row r="27" spans="1:12" x14ac:dyDescent="0.25">
      <c r="B27" s="316"/>
      <c r="C27" s="320"/>
      <c r="D27" s="316"/>
    </row>
    <row r="28" spans="1:12" x14ac:dyDescent="0.25">
      <c r="B28" s="312"/>
      <c r="C28" s="320"/>
      <c r="D28" s="316"/>
      <c r="I28" s="323"/>
    </row>
    <row r="29" spans="1:12" x14ac:dyDescent="0.25">
      <c r="B29" s="312"/>
      <c r="C29" s="320"/>
      <c r="D29" s="316"/>
      <c r="I29" s="323"/>
    </row>
    <row r="30" spans="1:12" x14ac:dyDescent="0.25">
      <c r="B30" s="315"/>
      <c r="C30" s="320"/>
      <c r="D30" s="316"/>
      <c r="I30" s="316"/>
    </row>
    <row r="31" spans="1:12" x14ac:dyDescent="0.25">
      <c r="C31" s="320"/>
      <c r="D31" s="316"/>
    </row>
    <row r="32" spans="1:12" x14ac:dyDescent="0.25">
      <c r="C32" s="320"/>
      <c r="D32" s="316"/>
    </row>
    <row r="33" spans="2:9" x14ac:dyDescent="0.25">
      <c r="B33" s="316"/>
      <c r="C33" s="320"/>
      <c r="D33" s="316"/>
    </row>
    <row r="34" spans="2:9" x14ac:dyDescent="0.25">
      <c r="B34" s="316"/>
      <c r="C34" s="320"/>
      <c r="D34" s="316"/>
    </row>
    <row r="35" spans="2:9" x14ac:dyDescent="0.25">
      <c r="B35" s="316"/>
      <c r="C35" s="320"/>
      <c r="D35" s="316"/>
    </row>
    <row r="36" spans="2:9" x14ac:dyDescent="0.25">
      <c r="B36" s="316"/>
      <c r="C36" s="320"/>
      <c r="D36" s="316"/>
      <c r="I36" s="316"/>
    </row>
    <row r="37" spans="2:9" x14ac:dyDescent="0.25">
      <c r="B37" s="316"/>
      <c r="C37" s="320"/>
      <c r="D37" s="316"/>
      <c r="I37" s="316"/>
    </row>
    <row r="38" spans="2:9" x14ac:dyDescent="0.25">
      <c r="B38" s="316"/>
      <c r="C38" s="320"/>
      <c r="D38" s="316"/>
      <c r="I38" s="316"/>
    </row>
    <row r="39" spans="2:9" x14ac:dyDescent="0.25">
      <c r="B39" s="316"/>
      <c r="C39" s="320"/>
      <c r="D39" s="316"/>
      <c r="I39" s="316"/>
    </row>
    <row r="40" spans="2:9" x14ac:dyDescent="0.25">
      <c r="B40" s="316"/>
      <c r="C40" s="320"/>
      <c r="D40" s="316"/>
    </row>
    <row r="41" spans="2:9" x14ac:dyDescent="0.25">
      <c r="B41" s="316"/>
      <c r="C41" s="320"/>
      <c r="D41" s="316"/>
    </row>
    <row r="42" spans="2:9" x14ac:dyDescent="0.25">
      <c r="B42" s="316"/>
      <c r="C42" s="320"/>
      <c r="D42" s="316"/>
    </row>
    <row r="43" spans="2:9" x14ac:dyDescent="0.25">
      <c r="B43" s="316"/>
      <c r="C43" s="320"/>
      <c r="D43" s="316"/>
    </row>
    <row r="44" spans="2:9" x14ac:dyDescent="0.25">
      <c r="B44" s="316"/>
      <c r="C44" s="320"/>
      <c r="D44" s="316"/>
    </row>
    <row r="45" spans="2:9" x14ac:dyDescent="0.25">
      <c r="B45" s="316"/>
      <c r="C45" s="320"/>
      <c r="D45" s="316"/>
    </row>
    <row r="46" spans="2:9" x14ac:dyDescent="0.25">
      <c r="B46" s="316"/>
      <c r="C46" s="320"/>
      <c r="D46" s="316"/>
    </row>
    <row r="47" spans="2:9" x14ac:dyDescent="0.25">
      <c r="B47" s="316"/>
      <c r="C47" s="320"/>
      <c r="D47" s="316"/>
    </row>
    <row r="48" spans="2:9" x14ac:dyDescent="0.25">
      <c r="B48" s="316"/>
      <c r="C48" s="320"/>
      <c r="D48" s="316"/>
    </row>
    <row r="49" spans="2:4" x14ac:dyDescent="0.25">
      <c r="B49" s="316"/>
      <c r="C49" s="320"/>
      <c r="D49" s="316"/>
    </row>
    <row r="50" spans="2:4" x14ac:dyDescent="0.25">
      <c r="B50" s="316"/>
      <c r="C50" s="320"/>
      <c r="D50" s="316"/>
    </row>
    <row r="51" spans="2:4" x14ac:dyDescent="0.25">
      <c r="B51" s="316"/>
      <c r="C51" s="320"/>
      <c r="D51" s="316"/>
    </row>
    <row r="52" spans="2:4" x14ac:dyDescent="0.25">
      <c r="B52" s="316"/>
      <c r="C52" s="320"/>
      <c r="D52" s="316"/>
    </row>
    <row r="53" spans="2:4" x14ac:dyDescent="0.25">
      <c r="B53" s="316"/>
      <c r="C53" s="320"/>
      <c r="D53" s="316"/>
    </row>
    <row r="54" spans="2:4" x14ac:dyDescent="0.25">
      <c r="B54" s="316"/>
      <c r="C54" s="320"/>
      <c r="D54" s="316"/>
    </row>
    <row r="55" spans="2:4" x14ac:dyDescent="0.25">
      <c r="B55" s="316"/>
      <c r="C55" s="320"/>
      <c r="D55" s="316"/>
    </row>
    <row r="56" spans="2:4" x14ac:dyDescent="0.25">
      <c r="B56" s="316"/>
    </row>
    <row r="57" spans="2:4" x14ac:dyDescent="0.25">
      <c r="B57" s="316"/>
    </row>
    <row r="58" spans="2:4" x14ac:dyDescent="0.25">
      <c r="B58" s="316"/>
    </row>
    <row r="59" spans="2:4" x14ac:dyDescent="0.25">
      <c r="B59" s="316"/>
    </row>
  </sheetData>
  <mergeCells count="16">
    <mergeCell ref="A21:E21"/>
    <mergeCell ref="A22:B22"/>
    <mergeCell ref="A18:I18"/>
    <mergeCell ref="J15:J16"/>
    <mergeCell ref="E1:I1"/>
    <mergeCell ref="A5:I5"/>
    <mergeCell ref="A12:I12"/>
    <mergeCell ref="A17:E17"/>
    <mergeCell ref="A11:E11"/>
    <mergeCell ref="A3:A4"/>
    <mergeCell ref="B3:B4"/>
    <mergeCell ref="C3:C4"/>
    <mergeCell ref="D3:D4"/>
    <mergeCell ref="E3:G3"/>
    <mergeCell ref="H3:H4"/>
    <mergeCell ref="I3:I4"/>
  </mergeCells>
  <phoneticPr fontId="25" type="noConversion"/>
  <pageMargins left="0.51181102362204722" right="0.11811023622047245" top="0.35433070866141736" bottom="0.35433070866141736" header="0.31496062992125984" footer="0.31496062992125984"/>
  <pageSetup paperSize="8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="70" zoomScaleNormal="70" workbookViewId="0">
      <selection activeCell="F26" sqref="F26"/>
    </sheetView>
  </sheetViews>
  <sheetFormatPr defaultColWidth="8.85546875" defaultRowHeight="15.75" x14ac:dyDescent="0.25"/>
  <cols>
    <col min="1" max="1" width="4.7109375" style="252" customWidth="1"/>
    <col min="2" max="2" width="40.28515625" style="252" customWidth="1"/>
    <col min="3" max="3" width="26.5703125" style="252" customWidth="1"/>
    <col min="4" max="4" width="17.28515625" style="254" customWidth="1"/>
    <col min="5" max="5" width="14.5703125" style="254" customWidth="1"/>
    <col min="6" max="6" width="19.7109375" style="254" customWidth="1"/>
    <col min="7" max="7" width="18" style="254" customWidth="1"/>
    <col min="8" max="8" width="19.28515625" style="254" customWidth="1"/>
    <col min="9" max="9" width="19" style="254" customWidth="1"/>
    <col min="10" max="10" width="74.28515625" style="252" customWidth="1"/>
    <col min="11" max="11" width="57.140625" style="252" customWidth="1"/>
    <col min="12" max="12" width="7.85546875" style="252" bestFit="1" customWidth="1"/>
    <col min="13" max="13" width="15.7109375" style="252" customWidth="1"/>
    <col min="14" max="14" width="11.28515625" style="252" bestFit="1" customWidth="1"/>
    <col min="15" max="15" width="23.28515625" style="252" customWidth="1"/>
    <col min="16" max="16" width="11.28515625" style="252" bestFit="1" customWidth="1"/>
    <col min="17" max="17" width="12.5703125" style="252" bestFit="1" customWidth="1"/>
    <col min="18" max="16384" width="8.85546875" style="252"/>
  </cols>
  <sheetData>
    <row r="1" spans="1:15" ht="20.25" x14ac:dyDescent="0.3">
      <c r="A1" s="511" t="s">
        <v>1345</v>
      </c>
      <c r="B1" s="511"/>
      <c r="C1" s="511"/>
      <c r="D1" s="511"/>
      <c r="E1" s="511"/>
      <c r="F1" s="511"/>
      <c r="G1" s="511"/>
      <c r="H1" s="511"/>
      <c r="I1" s="511"/>
      <c r="J1" s="511"/>
    </row>
    <row r="2" spans="1:15" x14ac:dyDescent="0.25">
      <c r="D2" s="259"/>
      <c r="E2" s="259"/>
    </row>
    <row r="3" spans="1:15" ht="19.149999999999999" customHeight="1" x14ac:dyDescent="0.25">
      <c r="A3" s="360" t="s">
        <v>0</v>
      </c>
      <c r="B3" s="352" t="s">
        <v>1140</v>
      </c>
      <c r="C3" s="352" t="s">
        <v>1141</v>
      </c>
      <c r="D3" s="513" t="s">
        <v>1142</v>
      </c>
      <c r="E3" s="514"/>
      <c r="F3" s="508" t="s">
        <v>1308</v>
      </c>
      <c r="G3" s="509"/>
      <c r="H3" s="510"/>
      <c r="I3" s="470" t="s">
        <v>1310</v>
      </c>
      <c r="J3" s="360" t="s">
        <v>4</v>
      </c>
    </row>
    <row r="4" spans="1:15" ht="50.25" customHeight="1" x14ac:dyDescent="0.25">
      <c r="A4" s="362"/>
      <c r="B4" s="354"/>
      <c r="C4" s="354"/>
      <c r="D4" s="515"/>
      <c r="E4" s="516"/>
      <c r="F4" s="260" t="s">
        <v>1319</v>
      </c>
      <c r="G4" s="260" t="s">
        <v>1237</v>
      </c>
      <c r="H4" s="260" t="s">
        <v>1320</v>
      </c>
      <c r="I4" s="471"/>
      <c r="J4" s="362"/>
    </row>
    <row r="5" spans="1:15" ht="47.25" x14ac:dyDescent="0.25">
      <c r="A5" s="546">
        <v>1</v>
      </c>
      <c r="B5" s="547" t="s">
        <v>1321</v>
      </c>
      <c r="C5" s="352" t="s">
        <v>1322</v>
      </c>
      <c r="D5" s="470">
        <f>SUM(E5:E8)</f>
        <v>20879385</v>
      </c>
      <c r="E5" s="293">
        <v>8742961</v>
      </c>
      <c r="F5" s="293">
        <v>2629047</v>
      </c>
      <c r="G5" s="293">
        <f t="shared" ref="G5:G11" si="0">E5-F5-H5</f>
        <v>4808108</v>
      </c>
      <c r="H5" s="293">
        <v>1305806</v>
      </c>
      <c r="I5" s="470">
        <f>D5+D9+D12</f>
        <v>39952022</v>
      </c>
      <c r="J5" s="22" t="s">
        <v>1323</v>
      </c>
      <c r="O5" s="295"/>
    </row>
    <row r="6" spans="1:15" ht="31.5" x14ac:dyDescent="0.25">
      <c r="A6" s="546"/>
      <c r="B6" s="547"/>
      <c r="C6" s="353"/>
      <c r="D6" s="512"/>
      <c r="E6" s="293">
        <v>3939125</v>
      </c>
      <c r="F6" s="293">
        <v>1896536</v>
      </c>
      <c r="G6" s="293">
        <f t="shared" si="0"/>
        <v>1434186</v>
      </c>
      <c r="H6" s="293">
        <f>94827+102766+410810</f>
        <v>608403</v>
      </c>
      <c r="I6" s="512"/>
      <c r="J6" s="22" t="s">
        <v>1324</v>
      </c>
    </row>
    <row r="7" spans="1:15" ht="31.5" x14ac:dyDescent="0.25">
      <c r="A7" s="546"/>
      <c r="B7" s="547"/>
      <c r="C7" s="353"/>
      <c r="D7" s="512"/>
      <c r="E7" s="293">
        <v>2847362</v>
      </c>
      <c r="F7" s="293">
        <v>529700</v>
      </c>
      <c r="G7" s="293">
        <f t="shared" si="0"/>
        <v>1944151</v>
      </c>
      <c r="H7" s="293">
        <f>52970+126341+194200</f>
        <v>373511</v>
      </c>
      <c r="I7" s="512"/>
      <c r="J7" s="22" t="s">
        <v>1332</v>
      </c>
      <c r="K7" s="296"/>
    </row>
    <row r="8" spans="1:15" ht="47.25" x14ac:dyDescent="0.25">
      <c r="A8" s="546"/>
      <c r="B8" s="547"/>
      <c r="C8" s="353"/>
      <c r="D8" s="512"/>
      <c r="E8" s="293">
        <v>5349937</v>
      </c>
      <c r="F8" s="293">
        <v>1706818</v>
      </c>
      <c r="G8" s="293">
        <f t="shared" si="0"/>
        <v>3002173</v>
      </c>
      <c r="H8" s="293">
        <f>85341+555605</f>
        <v>640946</v>
      </c>
      <c r="I8" s="512"/>
      <c r="J8" s="22" t="s">
        <v>1325</v>
      </c>
    </row>
    <row r="9" spans="1:15" ht="47.25" x14ac:dyDescent="0.25">
      <c r="A9" s="546"/>
      <c r="B9" s="547"/>
      <c r="C9" s="352" t="s">
        <v>1146</v>
      </c>
      <c r="D9" s="470">
        <f>SUM(E9:E11)</f>
        <v>12345319</v>
      </c>
      <c r="E9" s="293">
        <v>7198943</v>
      </c>
      <c r="F9" s="293">
        <v>3274115</v>
      </c>
      <c r="G9" s="293">
        <f t="shared" si="0"/>
        <v>2412449</v>
      </c>
      <c r="H9" s="293">
        <f>491117+308884+712378</f>
        <v>1512379</v>
      </c>
      <c r="I9" s="512"/>
      <c r="J9" s="22" t="s">
        <v>1337</v>
      </c>
    </row>
    <row r="10" spans="1:15" ht="51.75" customHeight="1" x14ac:dyDescent="0.25">
      <c r="A10" s="546"/>
      <c r="B10" s="547"/>
      <c r="C10" s="353"/>
      <c r="D10" s="512"/>
      <c r="E10" s="293">
        <v>2573188</v>
      </c>
      <c r="F10" s="293">
        <v>1297347</v>
      </c>
      <c r="G10" s="293">
        <f t="shared" si="0"/>
        <v>898343</v>
      </c>
      <c r="H10" s="293">
        <f>64867+312631</f>
        <v>377498</v>
      </c>
      <c r="I10" s="512"/>
      <c r="J10" s="22" t="s">
        <v>1342</v>
      </c>
    </row>
    <row r="11" spans="1:15" ht="36" customHeight="1" x14ac:dyDescent="0.25">
      <c r="A11" s="546"/>
      <c r="B11" s="547"/>
      <c r="C11" s="353"/>
      <c r="D11" s="512"/>
      <c r="E11" s="293">
        <v>2573188</v>
      </c>
      <c r="F11" s="293">
        <v>1297347</v>
      </c>
      <c r="G11" s="293">
        <f t="shared" si="0"/>
        <v>898343</v>
      </c>
      <c r="H11" s="293">
        <f>64867+312631</f>
        <v>377498</v>
      </c>
      <c r="I11" s="512"/>
      <c r="J11" s="22" t="s">
        <v>1326</v>
      </c>
    </row>
    <row r="12" spans="1:15" ht="31.5" x14ac:dyDescent="0.25">
      <c r="A12" s="546"/>
      <c r="B12" s="547"/>
      <c r="C12" s="2" t="s">
        <v>1327</v>
      </c>
      <c r="D12" s="540">
        <v>6727318</v>
      </c>
      <c r="E12" s="540"/>
      <c r="F12" s="293"/>
      <c r="G12" s="293"/>
      <c r="H12" s="293"/>
      <c r="I12" s="471"/>
      <c r="J12" s="22" t="s">
        <v>1328</v>
      </c>
    </row>
    <row r="13" spans="1:15" ht="35.25" customHeight="1" x14ac:dyDescent="0.25">
      <c r="A13" s="182">
        <v>2</v>
      </c>
      <c r="B13" s="11" t="s">
        <v>1331</v>
      </c>
      <c r="C13" s="10" t="s">
        <v>1145</v>
      </c>
      <c r="D13" s="537">
        <v>1557773</v>
      </c>
      <c r="E13" s="538"/>
      <c r="F13" s="293">
        <v>445421</v>
      </c>
      <c r="G13" s="293">
        <f>D13-F13-H13</f>
        <v>963069</v>
      </c>
      <c r="H13" s="293">
        <f>42255+107028</f>
        <v>149283</v>
      </c>
      <c r="I13" s="297">
        <f>D13</f>
        <v>1557773</v>
      </c>
      <c r="J13" s="22" t="s">
        <v>1334</v>
      </c>
    </row>
    <row r="14" spans="1:15" ht="35.25" customHeight="1" x14ac:dyDescent="0.25">
      <c r="A14" s="182">
        <v>3</v>
      </c>
      <c r="B14" s="11" t="s">
        <v>1333</v>
      </c>
      <c r="C14" s="10" t="s">
        <v>1145</v>
      </c>
      <c r="D14" s="537">
        <v>1964161</v>
      </c>
      <c r="E14" s="538"/>
      <c r="F14" s="293">
        <v>854757</v>
      </c>
      <c r="G14" s="293">
        <f>D14-F14-H14</f>
        <v>547768</v>
      </c>
      <c r="H14" s="293">
        <f>85476+148800+327360</f>
        <v>561636</v>
      </c>
      <c r="I14" s="297">
        <f>D14</f>
        <v>1964161</v>
      </c>
      <c r="J14" s="22" t="s">
        <v>1343</v>
      </c>
    </row>
    <row r="15" spans="1:15" ht="63" x14ac:dyDescent="0.25">
      <c r="A15" s="261">
        <v>4</v>
      </c>
      <c r="B15" s="11" t="s">
        <v>1330</v>
      </c>
      <c r="C15" s="2" t="s">
        <v>1146</v>
      </c>
      <c r="D15" s="544">
        <v>3341209</v>
      </c>
      <c r="E15" s="545"/>
      <c r="F15" s="293">
        <v>749277</v>
      </c>
      <c r="G15" s="293">
        <f>D15-F15-H15</f>
        <v>2190172</v>
      </c>
      <c r="H15" s="293">
        <f>57290+149837+194633</f>
        <v>401760</v>
      </c>
      <c r="I15" s="297">
        <f>D15</f>
        <v>3341209</v>
      </c>
      <c r="J15" s="274" t="s">
        <v>1335</v>
      </c>
      <c r="K15" s="296"/>
    </row>
    <row r="16" spans="1:15" ht="63" x14ac:dyDescent="0.25">
      <c r="A16" s="299">
        <v>5</v>
      </c>
      <c r="B16" s="22" t="s">
        <v>1329</v>
      </c>
      <c r="C16" s="2" t="s">
        <v>1327</v>
      </c>
      <c r="D16" s="539">
        <v>1061175</v>
      </c>
      <c r="E16" s="539"/>
      <c r="F16" s="293"/>
      <c r="G16" s="293"/>
      <c r="H16" s="293"/>
      <c r="I16" s="297">
        <f>D16</f>
        <v>1061175</v>
      </c>
      <c r="J16" s="274" t="s">
        <v>1336</v>
      </c>
      <c r="K16" s="296"/>
    </row>
    <row r="17" spans="1:11" x14ac:dyDescent="0.25">
      <c r="A17" s="299"/>
      <c r="B17" s="300"/>
      <c r="C17" s="301"/>
      <c r="D17" s="302"/>
      <c r="E17" s="302"/>
      <c r="F17" s="303"/>
      <c r="G17" s="303"/>
      <c r="H17" s="298"/>
      <c r="I17" s="297"/>
      <c r="J17" s="274"/>
      <c r="K17" s="296"/>
    </row>
    <row r="18" spans="1:11" ht="18.75" x14ac:dyDescent="0.25">
      <c r="A18" s="541" t="s">
        <v>1301</v>
      </c>
      <c r="B18" s="542"/>
      <c r="C18" s="542"/>
      <c r="D18" s="542"/>
      <c r="E18" s="542"/>
      <c r="F18" s="542"/>
      <c r="G18" s="542"/>
      <c r="H18" s="543"/>
      <c r="I18" s="271">
        <f>SUM(I5:I16)</f>
        <v>47876340</v>
      </c>
      <c r="J18" s="2"/>
    </row>
    <row r="19" spans="1:11" x14ac:dyDescent="0.25">
      <c r="D19" s="252"/>
      <c r="E19" s="252"/>
      <c r="F19" s="252"/>
      <c r="G19" s="252"/>
      <c r="H19" s="252"/>
      <c r="I19" s="252"/>
    </row>
    <row r="20" spans="1:11" x14ac:dyDescent="0.25">
      <c r="I20" s="254">
        <f>I18+Поставка!G23+1020000+90000</f>
        <v>86488704.453999996</v>
      </c>
    </row>
  </sheetData>
  <mergeCells count="21">
    <mergeCell ref="I5:I12"/>
    <mergeCell ref="A1:J1"/>
    <mergeCell ref="A3:A4"/>
    <mergeCell ref="B3:B4"/>
    <mergeCell ref="C3:C4"/>
    <mergeCell ref="D3:E4"/>
    <mergeCell ref="F3:H3"/>
    <mergeCell ref="I3:I4"/>
    <mergeCell ref="J3:J4"/>
    <mergeCell ref="D9:D11"/>
    <mergeCell ref="D13:E13"/>
    <mergeCell ref="D14:E14"/>
    <mergeCell ref="D16:E16"/>
    <mergeCell ref="D12:E12"/>
    <mergeCell ref="A18:H18"/>
    <mergeCell ref="D15:E15"/>
    <mergeCell ref="A5:A12"/>
    <mergeCell ref="B5:B12"/>
    <mergeCell ref="C5:C8"/>
    <mergeCell ref="D5:D8"/>
    <mergeCell ref="C9:C11"/>
  </mergeCells>
  <pageMargins left="0.7" right="0.7" top="0.75" bottom="0.75" header="0.3" footer="0.3"/>
  <pageSetup paperSize="8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zoomScaleNormal="100" zoomScaleSheetLayoutView="100" workbookViewId="0">
      <selection activeCell="C20" sqref="C20"/>
    </sheetView>
  </sheetViews>
  <sheetFormatPr defaultRowHeight="15.75" x14ac:dyDescent="0.25"/>
  <cols>
    <col min="1" max="1" width="9.140625" style="252"/>
    <col min="2" max="2" width="37.42578125" style="252" customWidth="1"/>
    <col min="3" max="3" width="20" style="252" customWidth="1"/>
    <col min="4" max="4" width="19.7109375" style="252" customWidth="1"/>
    <col min="5" max="5" width="12.85546875" style="252" customWidth="1"/>
    <col min="6" max="6" width="16.28515625" style="252" customWidth="1"/>
    <col min="7" max="7" width="13.42578125" style="252" customWidth="1"/>
    <col min="8" max="8" width="11.7109375" style="252" customWidth="1"/>
    <col min="9" max="16384" width="9.140625" style="252"/>
  </cols>
  <sheetData>
    <row r="1" spans="1:8" ht="19.5" customHeight="1" x14ac:dyDescent="0.25">
      <c r="A1" s="556" t="s">
        <v>1346</v>
      </c>
      <c r="B1" s="556"/>
      <c r="C1" s="556"/>
      <c r="D1" s="556"/>
    </row>
    <row r="2" spans="1:8" x14ac:dyDescent="0.25">
      <c r="D2" s="259"/>
    </row>
    <row r="3" spans="1:8" x14ac:dyDescent="0.25">
      <c r="A3" s="360" t="s">
        <v>0</v>
      </c>
      <c r="B3" s="352" t="s">
        <v>1140</v>
      </c>
      <c r="C3" s="352" t="s">
        <v>1141</v>
      </c>
      <c r="D3" s="470" t="s">
        <v>1338</v>
      </c>
      <c r="E3" s="555" t="s">
        <v>1339</v>
      </c>
      <c r="F3" s="551" t="s">
        <v>1341</v>
      </c>
      <c r="G3" s="547" t="s">
        <v>1344</v>
      </c>
    </row>
    <row r="4" spans="1:8" x14ac:dyDescent="0.25">
      <c r="A4" s="362"/>
      <c r="B4" s="354"/>
      <c r="C4" s="354"/>
      <c r="D4" s="471"/>
      <c r="E4" s="555"/>
      <c r="F4" s="551"/>
      <c r="G4" s="547"/>
    </row>
    <row r="5" spans="1:8" ht="18.75" customHeight="1" x14ac:dyDescent="0.25">
      <c r="A5" s="467">
        <v>6</v>
      </c>
      <c r="B5" s="548" t="s">
        <v>1144</v>
      </c>
      <c r="C5" s="266" t="s">
        <v>1145</v>
      </c>
      <c r="D5" s="306">
        <v>2712295.8520000004</v>
      </c>
      <c r="E5" s="309">
        <v>100000</v>
      </c>
      <c r="F5" s="309">
        <f>SUM(D5:E5)</f>
        <v>2812295.8520000004</v>
      </c>
      <c r="G5" s="552">
        <f>SUM(F5:F7)</f>
        <v>9079845.9539999999</v>
      </c>
      <c r="H5" s="311">
        <f>SUM(E5,E8,E12,E15,E19)</f>
        <v>1340000</v>
      </c>
    </row>
    <row r="6" spans="1:8" ht="18.75" customHeight="1" x14ac:dyDescent="0.25">
      <c r="A6" s="468"/>
      <c r="B6" s="549"/>
      <c r="C6" s="266" t="s">
        <v>1146</v>
      </c>
      <c r="D6" s="307">
        <v>2716176.7839999995</v>
      </c>
      <c r="E6" s="309">
        <v>20000</v>
      </c>
      <c r="F6" s="309">
        <f>SUM(D6:E6)</f>
        <v>2736176.7839999995</v>
      </c>
      <c r="G6" s="553"/>
      <c r="H6" s="311">
        <f>SUM(E6,E9,E13,E16,E20)</f>
        <v>1235000</v>
      </c>
    </row>
    <row r="7" spans="1:8" ht="26.25" customHeight="1" x14ac:dyDescent="0.25">
      <c r="A7" s="469"/>
      <c r="B7" s="550"/>
      <c r="C7" s="266" t="s">
        <v>1147</v>
      </c>
      <c r="D7" s="307">
        <v>3371373.318</v>
      </c>
      <c r="E7" s="309">
        <v>160000</v>
      </c>
      <c r="F7" s="309">
        <f>SUM(D7:E7)</f>
        <v>3531373.318</v>
      </c>
      <c r="G7" s="554"/>
      <c r="H7" s="311">
        <f>SUM(E7,E10,E14,E17,E21)</f>
        <v>735000</v>
      </c>
    </row>
    <row r="8" spans="1:8" ht="19.5" customHeight="1" x14ac:dyDescent="0.25">
      <c r="A8" s="467">
        <v>7</v>
      </c>
      <c r="B8" s="548" t="s">
        <v>1340</v>
      </c>
      <c r="C8" s="266" t="s">
        <v>1145</v>
      </c>
      <c r="D8" s="306">
        <v>1476975</v>
      </c>
      <c r="E8" s="309">
        <v>200000</v>
      </c>
      <c r="F8" s="309">
        <f t="shared" ref="F8:F22" si="0">SUM(D8:E8)</f>
        <v>1676975</v>
      </c>
      <c r="G8" s="552">
        <f>SUM(F8:F11)</f>
        <v>7861355.5</v>
      </c>
    </row>
    <row r="9" spans="1:8" ht="19.5" customHeight="1" x14ac:dyDescent="0.25">
      <c r="A9" s="468"/>
      <c r="B9" s="549"/>
      <c r="C9" s="275" t="s">
        <v>1146</v>
      </c>
      <c r="D9" s="308">
        <v>4288288.5</v>
      </c>
      <c r="E9" s="309">
        <v>450000</v>
      </c>
      <c r="F9" s="309">
        <f t="shared" si="0"/>
        <v>4738288.5</v>
      </c>
      <c r="G9" s="553"/>
    </row>
    <row r="10" spans="1:8" ht="19.5" customHeight="1" x14ac:dyDescent="0.25">
      <c r="A10" s="468"/>
      <c r="B10" s="549"/>
      <c r="C10" s="304" t="s">
        <v>1149</v>
      </c>
      <c r="D10" s="308">
        <v>592992</v>
      </c>
      <c r="E10" s="309">
        <v>60000</v>
      </c>
      <c r="F10" s="309">
        <f t="shared" si="0"/>
        <v>652992</v>
      </c>
      <c r="G10" s="553"/>
    </row>
    <row r="11" spans="1:8" ht="19.5" customHeight="1" x14ac:dyDescent="0.25">
      <c r="A11" s="469"/>
      <c r="B11" s="550"/>
      <c r="C11" s="266" t="s">
        <v>1152</v>
      </c>
      <c r="D11" s="306">
        <v>728100</v>
      </c>
      <c r="E11" s="309">
        <v>65000</v>
      </c>
      <c r="F11" s="309">
        <f t="shared" si="0"/>
        <v>793100</v>
      </c>
      <c r="G11" s="554"/>
      <c r="H11" s="311">
        <f>SUM(E11,E17,E22)</f>
        <v>200000</v>
      </c>
    </row>
    <row r="12" spans="1:8" x14ac:dyDescent="0.25">
      <c r="A12" s="467">
        <v>10</v>
      </c>
      <c r="B12" s="548" t="s">
        <v>1150</v>
      </c>
      <c r="C12" s="266" t="s">
        <v>1145</v>
      </c>
      <c r="D12" s="306">
        <v>620161.20000000007</v>
      </c>
      <c r="E12" s="309">
        <v>110000</v>
      </c>
      <c r="F12" s="309">
        <f t="shared" si="0"/>
        <v>730161.20000000007</v>
      </c>
      <c r="G12" s="552">
        <f>SUM(F12:F14)</f>
        <v>1427873.2000000002</v>
      </c>
    </row>
    <row r="13" spans="1:8" x14ac:dyDescent="0.25">
      <c r="A13" s="468"/>
      <c r="B13" s="549"/>
      <c r="C13" s="266" t="s">
        <v>1146</v>
      </c>
      <c r="D13" s="306">
        <v>315840</v>
      </c>
      <c r="E13" s="309">
        <v>15000</v>
      </c>
      <c r="F13" s="309">
        <f t="shared" si="0"/>
        <v>330840</v>
      </c>
      <c r="G13" s="553"/>
    </row>
    <row r="14" spans="1:8" ht="20.25" customHeight="1" x14ac:dyDescent="0.25">
      <c r="A14" s="468"/>
      <c r="B14" s="549"/>
      <c r="C14" s="266" t="s">
        <v>1149</v>
      </c>
      <c r="D14" s="306">
        <v>351872</v>
      </c>
      <c r="E14" s="309">
        <v>15000</v>
      </c>
      <c r="F14" s="309">
        <f t="shared" si="0"/>
        <v>366872</v>
      </c>
      <c r="G14" s="554"/>
    </row>
    <row r="15" spans="1:8" x14ac:dyDescent="0.25">
      <c r="A15" s="467">
        <v>11</v>
      </c>
      <c r="B15" s="548" t="s">
        <v>1151</v>
      </c>
      <c r="C15" s="266" t="s">
        <v>1145</v>
      </c>
      <c r="D15" s="306">
        <v>4949908</v>
      </c>
      <c r="E15" s="309">
        <v>480000</v>
      </c>
      <c r="F15" s="309">
        <f t="shared" si="0"/>
        <v>5429908</v>
      </c>
      <c r="G15" s="552">
        <f>SUM(F15:F18)</f>
        <v>9586568</v>
      </c>
    </row>
    <row r="16" spans="1:8" x14ac:dyDescent="0.25">
      <c r="A16" s="468"/>
      <c r="B16" s="549"/>
      <c r="C16" s="275" t="s">
        <v>1146</v>
      </c>
      <c r="D16" s="308">
        <v>1627160</v>
      </c>
      <c r="E16" s="309">
        <v>290000</v>
      </c>
      <c r="F16" s="309">
        <f t="shared" si="0"/>
        <v>1917160</v>
      </c>
      <c r="G16" s="553"/>
    </row>
    <row r="17" spans="1:7" x14ac:dyDescent="0.25">
      <c r="A17" s="468"/>
      <c r="B17" s="549"/>
      <c r="C17" s="266" t="s">
        <v>1152</v>
      </c>
      <c r="D17" s="306">
        <v>495000</v>
      </c>
      <c r="E17" s="309">
        <v>120000</v>
      </c>
      <c r="F17" s="309">
        <f t="shared" si="0"/>
        <v>615000</v>
      </c>
      <c r="G17" s="553"/>
    </row>
    <row r="18" spans="1:7" x14ac:dyDescent="0.25">
      <c r="A18" s="469"/>
      <c r="B18" s="550"/>
      <c r="C18" s="266" t="s">
        <v>1149</v>
      </c>
      <c r="D18" s="306">
        <v>1234500</v>
      </c>
      <c r="E18" s="309">
        <v>390000</v>
      </c>
      <c r="F18" s="309">
        <f t="shared" si="0"/>
        <v>1624500</v>
      </c>
      <c r="G18" s="554"/>
    </row>
    <row r="19" spans="1:7" ht="18.75" customHeight="1" x14ac:dyDescent="0.25">
      <c r="A19" s="467">
        <v>12</v>
      </c>
      <c r="B19" s="548" t="s">
        <v>1153</v>
      </c>
      <c r="C19" s="266" t="s">
        <v>1145</v>
      </c>
      <c r="D19" s="306">
        <v>2459432</v>
      </c>
      <c r="E19" s="309">
        <v>450000</v>
      </c>
      <c r="F19" s="309">
        <f t="shared" si="0"/>
        <v>2909432</v>
      </c>
      <c r="G19" s="552">
        <f>SUM(F19:F22)</f>
        <v>9546721.8000000007</v>
      </c>
    </row>
    <row r="20" spans="1:7" ht="18.75" customHeight="1" x14ac:dyDescent="0.25">
      <c r="A20" s="468"/>
      <c r="B20" s="549"/>
      <c r="C20" s="266" t="s">
        <v>1146</v>
      </c>
      <c r="D20" s="306">
        <v>3254545</v>
      </c>
      <c r="E20" s="309">
        <v>460000</v>
      </c>
      <c r="F20" s="309">
        <f t="shared" si="0"/>
        <v>3714545</v>
      </c>
      <c r="G20" s="553"/>
    </row>
    <row r="21" spans="1:7" ht="18.75" customHeight="1" x14ac:dyDescent="0.25">
      <c r="A21" s="468"/>
      <c r="B21" s="549"/>
      <c r="C21" s="294" t="s">
        <v>1149</v>
      </c>
      <c r="D21" s="306">
        <v>2315064.7999999998</v>
      </c>
      <c r="E21" s="309">
        <v>380000</v>
      </c>
      <c r="F21" s="309">
        <f t="shared" si="0"/>
        <v>2695064.8</v>
      </c>
      <c r="G21" s="553"/>
    </row>
    <row r="22" spans="1:7" ht="18.75" customHeight="1" x14ac:dyDescent="0.25">
      <c r="A22" s="469"/>
      <c r="B22" s="550"/>
      <c r="C22" s="266" t="s">
        <v>1152</v>
      </c>
      <c r="D22" s="306">
        <v>212680</v>
      </c>
      <c r="E22" s="309">
        <v>15000</v>
      </c>
      <c r="F22" s="309">
        <f t="shared" si="0"/>
        <v>227680</v>
      </c>
      <c r="G22" s="554"/>
    </row>
    <row r="23" spans="1:7" x14ac:dyDescent="0.25">
      <c r="A23" s="557" t="s">
        <v>1233</v>
      </c>
      <c r="B23" s="558"/>
      <c r="C23" s="558"/>
      <c r="D23" s="310">
        <f>SUM(D5:D22)</f>
        <v>33722364.453999996</v>
      </c>
      <c r="E23" s="310">
        <f>SUM(E5:E22)</f>
        <v>3780000</v>
      </c>
      <c r="F23" s="310">
        <f>SUM(F5:F22)</f>
        <v>37502364.453999996</v>
      </c>
      <c r="G23" s="310">
        <f>SUM(G5:G22)</f>
        <v>37502364.453999996</v>
      </c>
    </row>
    <row r="24" spans="1:7" x14ac:dyDescent="0.25">
      <c r="A24" s="305"/>
      <c r="B24" s="305"/>
      <c r="C24" s="305"/>
      <c r="D24" s="305"/>
    </row>
    <row r="25" spans="1:7" x14ac:dyDescent="0.25">
      <c r="A25" s="283"/>
      <c r="B25" s="283"/>
      <c r="C25" s="283"/>
    </row>
    <row r="26" spans="1:7" x14ac:dyDescent="0.25">
      <c r="A26" s="285" t="s">
        <v>1155</v>
      </c>
      <c r="B26" s="286"/>
      <c r="C26" s="286"/>
      <c r="D26" s="286"/>
    </row>
    <row r="27" spans="1:7" x14ac:dyDescent="0.25">
      <c r="A27" s="285" t="s">
        <v>1156</v>
      </c>
      <c r="B27" s="286"/>
      <c r="C27" s="286"/>
      <c r="D27" s="286"/>
    </row>
    <row r="28" spans="1:7" x14ac:dyDescent="0.25">
      <c r="A28" s="5" t="s">
        <v>1157</v>
      </c>
      <c r="B28" s="5"/>
      <c r="C28" s="5"/>
      <c r="D28" s="288">
        <v>135000</v>
      </c>
    </row>
    <row r="29" spans="1:7" x14ac:dyDescent="0.25">
      <c r="A29" s="285" t="s">
        <v>1159</v>
      </c>
      <c r="B29" s="286"/>
      <c r="C29" s="287"/>
      <c r="D29" s="288">
        <v>80000</v>
      </c>
    </row>
    <row r="30" spans="1:7" x14ac:dyDescent="0.25">
      <c r="A30" s="5" t="s">
        <v>1160</v>
      </c>
      <c r="B30" s="5"/>
      <c r="C30" s="5"/>
      <c r="D30" s="288">
        <v>145000</v>
      </c>
    </row>
    <row r="31" spans="1:7" x14ac:dyDescent="0.25">
      <c r="A31" s="5" t="s">
        <v>1161</v>
      </c>
      <c r="B31" s="5"/>
      <c r="C31" s="5"/>
      <c r="D31" s="288">
        <v>50000</v>
      </c>
    </row>
    <row r="32" spans="1:7" x14ac:dyDescent="0.25">
      <c r="A32" s="5" t="s">
        <v>1162</v>
      </c>
      <c r="B32" s="5"/>
      <c r="C32" s="5"/>
      <c r="D32" s="288">
        <v>10000</v>
      </c>
    </row>
    <row r="33" spans="1:4" x14ac:dyDescent="0.25">
      <c r="A33" s="5" t="s">
        <v>1163</v>
      </c>
      <c r="B33" s="5"/>
      <c r="C33" s="5"/>
      <c r="D33" s="288">
        <v>10000</v>
      </c>
    </row>
    <row r="34" spans="1:4" x14ac:dyDescent="0.25">
      <c r="A34" s="285" t="s">
        <v>1164</v>
      </c>
      <c r="B34" s="286"/>
      <c r="C34" s="287"/>
      <c r="D34" s="288">
        <v>15000</v>
      </c>
    </row>
    <row r="35" spans="1:4" x14ac:dyDescent="0.25">
      <c r="A35" s="285" t="s">
        <v>1165</v>
      </c>
      <c r="B35" s="286"/>
      <c r="C35" s="286"/>
      <c r="D35" s="286"/>
    </row>
    <row r="36" spans="1:4" x14ac:dyDescent="0.25">
      <c r="A36" s="5" t="s">
        <v>1166</v>
      </c>
      <c r="B36" s="5"/>
      <c r="C36" s="5"/>
      <c r="D36" s="288">
        <v>95000</v>
      </c>
    </row>
    <row r="37" spans="1:4" x14ac:dyDescent="0.25">
      <c r="A37" s="5" t="s">
        <v>1167</v>
      </c>
      <c r="B37" s="5"/>
      <c r="C37" s="5"/>
      <c r="D37" s="288">
        <v>55000</v>
      </c>
    </row>
    <row r="38" spans="1:4" x14ac:dyDescent="0.25">
      <c r="A38" s="5" t="s">
        <v>1168</v>
      </c>
      <c r="B38" s="5"/>
      <c r="C38" s="5"/>
      <c r="D38" s="288">
        <v>110000</v>
      </c>
    </row>
    <row r="39" spans="1:4" x14ac:dyDescent="0.25">
      <c r="A39" s="5" t="s">
        <v>1169</v>
      </c>
      <c r="B39" s="5"/>
      <c r="C39" s="5"/>
      <c r="D39" s="288">
        <v>55000</v>
      </c>
    </row>
  </sheetData>
  <mergeCells count="24">
    <mergeCell ref="A3:A4"/>
    <mergeCell ref="A1:D1"/>
    <mergeCell ref="G3:G4"/>
    <mergeCell ref="G5:G7"/>
    <mergeCell ref="A23:C23"/>
    <mergeCell ref="G8:G11"/>
    <mergeCell ref="G12:G14"/>
    <mergeCell ref="A15:A18"/>
    <mergeCell ref="B15:B18"/>
    <mergeCell ref="A12:A14"/>
    <mergeCell ref="B12:B14"/>
    <mergeCell ref="A19:A22"/>
    <mergeCell ref="B19:B22"/>
    <mergeCell ref="A8:A11"/>
    <mergeCell ref="B8:B11"/>
    <mergeCell ref="A5:A7"/>
    <mergeCell ref="B5:B7"/>
    <mergeCell ref="F3:F4"/>
    <mergeCell ref="G15:G18"/>
    <mergeCell ref="G19:G22"/>
    <mergeCell ref="B3:B4"/>
    <mergeCell ref="C3:C4"/>
    <mergeCell ref="D3:D4"/>
    <mergeCell ref="E3:E4"/>
  </mergeCell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N17"/>
  <sheetViews>
    <sheetView topLeftCell="A4" workbookViewId="0">
      <selection activeCell="B17" sqref="B17:N17"/>
    </sheetView>
  </sheetViews>
  <sheetFormatPr defaultRowHeight="15" x14ac:dyDescent="0.25"/>
  <cols>
    <col min="4" max="4" width="18.85546875" customWidth="1"/>
  </cols>
  <sheetData>
    <row r="8" spans="2:14" ht="63" x14ac:dyDescent="0.25">
      <c r="B8" s="559"/>
      <c r="C8" s="559" t="s">
        <v>38</v>
      </c>
      <c r="D8" s="562" t="s">
        <v>703</v>
      </c>
      <c r="E8" s="562" t="s">
        <v>704</v>
      </c>
      <c r="F8" s="102" t="s">
        <v>705</v>
      </c>
      <c r="G8" s="82"/>
      <c r="H8" s="103" t="s">
        <v>55</v>
      </c>
      <c r="I8" s="103">
        <v>52</v>
      </c>
      <c r="J8" s="82">
        <v>448</v>
      </c>
      <c r="K8" s="82">
        <f t="shared" ref="K8:K14" si="0">I8*J8</f>
        <v>23296</v>
      </c>
      <c r="L8" s="565" t="s">
        <v>29</v>
      </c>
      <c r="M8" s="565">
        <f>SUM(K8:K14)</f>
        <v>112846</v>
      </c>
      <c r="N8" s="559"/>
    </row>
    <row r="9" spans="2:14" ht="31.5" x14ac:dyDescent="0.25">
      <c r="B9" s="560"/>
      <c r="C9" s="560"/>
      <c r="D9" s="563"/>
      <c r="E9" s="563"/>
      <c r="F9" s="102" t="s">
        <v>706</v>
      </c>
      <c r="G9" s="82"/>
      <c r="H9" s="103" t="s">
        <v>23</v>
      </c>
      <c r="I9" s="103">
        <v>3</v>
      </c>
      <c r="J9" s="82">
        <v>2300</v>
      </c>
      <c r="K9" s="82">
        <f t="shared" si="0"/>
        <v>6900</v>
      </c>
      <c r="L9" s="566"/>
      <c r="M9" s="566"/>
      <c r="N9" s="560"/>
    </row>
    <row r="10" spans="2:14" ht="126" x14ac:dyDescent="0.25">
      <c r="B10" s="560"/>
      <c r="C10" s="560"/>
      <c r="D10" s="563"/>
      <c r="E10" s="563"/>
      <c r="F10" s="102" t="s">
        <v>707</v>
      </c>
      <c r="G10" s="82"/>
      <c r="H10" s="103" t="s">
        <v>68</v>
      </c>
      <c r="I10" s="103">
        <v>1550</v>
      </c>
      <c r="J10" s="85">
        <v>45</v>
      </c>
      <c r="K10" s="85">
        <f t="shared" si="0"/>
        <v>69750</v>
      </c>
      <c r="L10" s="566"/>
      <c r="M10" s="566"/>
      <c r="N10" s="560"/>
    </row>
    <row r="11" spans="2:14" ht="15.75" x14ac:dyDescent="0.25">
      <c r="B11" s="560"/>
      <c r="C11" s="560"/>
      <c r="D11" s="563"/>
      <c r="E11" s="563"/>
      <c r="F11" s="102" t="s">
        <v>708</v>
      </c>
      <c r="G11" s="82"/>
      <c r="H11" s="103" t="s">
        <v>23</v>
      </c>
      <c r="I11" s="103">
        <v>3</v>
      </c>
      <c r="J11" s="82">
        <v>500</v>
      </c>
      <c r="K11" s="82">
        <f t="shared" si="0"/>
        <v>1500</v>
      </c>
      <c r="L11" s="566"/>
      <c r="M11" s="566"/>
      <c r="N11" s="560"/>
    </row>
    <row r="12" spans="2:14" ht="15.75" x14ac:dyDescent="0.25">
      <c r="B12" s="560"/>
      <c r="C12" s="560"/>
      <c r="D12" s="563"/>
      <c r="E12" s="563"/>
      <c r="F12" s="102" t="s">
        <v>709</v>
      </c>
      <c r="G12" s="82"/>
      <c r="H12" s="103" t="s">
        <v>23</v>
      </c>
      <c r="I12" s="103">
        <v>3</v>
      </c>
      <c r="J12" s="82">
        <v>500</v>
      </c>
      <c r="K12" s="82">
        <f t="shared" si="0"/>
        <v>1500</v>
      </c>
      <c r="L12" s="566"/>
      <c r="M12" s="566"/>
      <c r="N12" s="560"/>
    </row>
    <row r="13" spans="2:14" ht="15.75" x14ac:dyDescent="0.25">
      <c r="B13" s="560"/>
      <c r="C13" s="560"/>
      <c r="D13" s="563"/>
      <c r="E13" s="563"/>
      <c r="F13" s="102" t="s">
        <v>710</v>
      </c>
      <c r="G13" s="82"/>
      <c r="H13" s="103" t="s">
        <v>23</v>
      </c>
      <c r="I13" s="103">
        <v>3</v>
      </c>
      <c r="J13" s="82">
        <v>1400</v>
      </c>
      <c r="K13" s="82">
        <f t="shared" si="0"/>
        <v>4200</v>
      </c>
      <c r="L13" s="566"/>
      <c r="M13" s="566"/>
      <c r="N13" s="560"/>
    </row>
    <row r="14" spans="2:14" ht="47.25" x14ac:dyDescent="0.25">
      <c r="B14" s="561"/>
      <c r="C14" s="561"/>
      <c r="D14" s="564"/>
      <c r="E14" s="564"/>
      <c r="F14" s="102" t="s">
        <v>917</v>
      </c>
      <c r="G14" s="82"/>
      <c r="H14" s="103" t="s">
        <v>23</v>
      </c>
      <c r="I14" s="103">
        <v>6</v>
      </c>
      <c r="J14" s="82">
        <v>950</v>
      </c>
      <c r="K14" s="82">
        <f t="shared" si="0"/>
        <v>5700</v>
      </c>
      <c r="L14" s="567"/>
      <c r="M14" s="567"/>
      <c r="N14" s="561"/>
    </row>
    <row r="15" spans="2:14" ht="54.75" customHeight="1" x14ac:dyDescent="0.25">
      <c r="B15" s="10"/>
      <c r="C15" s="110"/>
      <c r="D15" s="115" t="s">
        <v>942</v>
      </c>
      <c r="E15" s="115"/>
      <c r="F15" s="116" t="s">
        <v>37</v>
      </c>
      <c r="G15" s="117"/>
      <c r="H15" s="118"/>
      <c r="I15" s="118"/>
      <c r="J15" s="119"/>
      <c r="K15" s="106"/>
      <c r="L15" s="15"/>
      <c r="M15" s="6"/>
      <c r="N15" s="5"/>
    </row>
    <row r="17" spans="2:14" ht="110.25" x14ac:dyDescent="0.25">
      <c r="B17" s="2">
        <v>10</v>
      </c>
      <c r="C17" s="2"/>
      <c r="D17" s="136" t="s">
        <v>322</v>
      </c>
      <c r="E17" s="136" t="s">
        <v>401</v>
      </c>
      <c r="F17" s="94"/>
      <c r="G17" s="136" t="s">
        <v>310</v>
      </c>
      <c r="H17" s="136" t="s">
        <v>23</v>
      </c>
      <c r="I17" s="136">
        <v>2</v>
      </c>
      <c r="J17" s="32"/>
      <c r="K17" s="32">
        <f>I17*J17</f>
        <v>0</v>
      </c>
      <c r="L17" s="32" t="s">
        <v>184</v>
      </c>
      <c r="M17" s="32">
        <f>K17</f>
        <v>0</v>
      </c>
      <c r="N17" s="2" t="s">
        <v>409</v>
      </c>
    </row>
  </sheetData>
  <mergeCells count="7">
    <mergeCell ref="N8:N14"/>
    <mergeCell ref="B8:B14"/>
    <mergeCell ref="C8:C14"/>
    <mergeCell ref="D8:D14"/>
    <mergeCell ref="E8:E14"/>
    <mergeCell ref="L8:L14"/>
    <mergeCell ref="M8:M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12"/>
  <sheetViews>
    <sheetView workbookViewId="0">
      <selection activeCell="I113" sqref="I113"/>
    </sheetView>
  </sheetViews>
  <sheetFormatPr defaultRowHeight="21" customHeight="1" x14ac:dyDescent="0.25"/>
  <cols>
    <col min="3" max="3" width="58.7109375" customWidth="1"/>
    <col min="4" max="7" width="14.140625" customWidth="1"/>
  </cols>
  <sheetData>
    <row r="3" spans="3:9" ht="21" customHeight="1" thickBot="1" x14ac:dyDescent="0.3"/>
    <row r="4" spans="3:9" ht="21" customHeight="1" thickBot="1" x14ac:dyDescent="0.3">
      <c r="C4" s="156" t="s">
        <v>1044</v>
      </c>
      <c r="D4" s="157" t="s">
        <v>1</v>
      </c>
      <c r="E4" s="157" t="s">
        <v>2</v>
      </c>
      <c r="F4" s="157" t="s">
        <v>1045</v>
      </c>
      <c r="G4" s="157" t="s">
        <v>1046</v>
      </c>
    </row>
    <row r="5" spans="3:9" ht="21" customHeight="1" x14ac:dyDescent="0.25">
      <c r="C5" s="589" t="s">
        <v>1047</v>
      </c>
      <c r="D5" s="590"/>
      <c r="E5" s="590"/>
      <c r="F5" s="590"/>
      <c r="G5" s="591"/>
    </row>
    <row r="6" spans="3:9" ht="21" customHeight="1" thickBot="1" x14ac:dyDescent="0.3">
      <c r="C6" s="586" t="s">
        <v>1048</v>
      </c>
      <c r="D6" s="587"/>
      <c r="E6" s="587"/>
      <c r="F6" s="587"/>
      <c r="G6" s="588"/>
    </row>
    <row r="7" spans="3:9" ht="21" customHeight="1" thickBot="1" x14ac:dyDescent="0.3">
      <c r="C7" s="158" t="s">
        <v>251</v>
      </c>
      <c r="D7" s="159" t="s">
        <v>23</v>
      </c>
      <c r="E7" s="159">
        <v>4000</v>
      </c>
      <c r="F7" s="159">
        <v>437</v>
      </c>
      <c r="G7" s="159" t="s">
        <v>1049</v>
      </c>
      <c r="I7">
        <f>E7*F7</f>
        <v>1748000</v>
      </c>
    </row>
    <row r="8" spans="3:9" ht="21" customHeight="1" thickBot="1" x14ac:dyDescent="0.3">
      <c r="C8" s="158" t="s">
        <v>1050</v>
      </c>
      <c r="D8" s="159" t="s">
        <v>23</v>
      </c>
      <c r="E8" s="159">
        <v>20</v>
      </c>
      <c r="F8" s="159">
        <v>26520</v>
      </c>
      <c r="G8" s="160">
        <v>530400</v>
      </c>
      <c r="I8">
        <f t="shared" ref="I8:I39" si="0">E8*F8</f>
        <v>530400</v>
      </c>
    </row>
    <row r="9" spans="3:9" ht="21" customHeight="1" thickBot="1" x14ac:dyDescent="0.3">
      <c r="C9" s="158" t="s">
        <v>1051</v>
      </c>
      <c r="D9" s="159" t="s">
        <v>243</v>
      </c>
      <c r="E9" s="159">
        <v>2</v>
      </c>
      <c r="F9" s="159">
        <v>256880</v>
      </c>
      <c r="G9" s="160">
        <v>513760</v>
      </c>
      <c r="I9">
        <f t="shared" si="0"/>
        <v>513760</v>
      </c>
    </row>
    <row r="10" spans="3:9" ht="21" customHeight="1" thickBot="1" x14ac:dyDescent="0.3">
      <c r="C10" s="158" t="s">
        <v>1052</v>
      </c>
      <c r="D10" s="159" t="s">
        <v>23</v>
      </c>
      <c r="E10" s="159">
        <v>1000</v>
      </c>
      <c r="F10" s="159">
        <v>224</v>
      </c>
      <c r="G10" s="160">
        <v>224000</v>
      </c>
      <c r="I10">
        <f t="shared" si="0"/>
        <v>224000</v>
      </c>
    </row>
    <row r="11" spans="3:9" ht="21" customHeight="1" thickBot="1" x14ac:dyDescent="0.3">
      <c r="C11" s="158" t="s">
        <v>1053</v>
      </c>
      <c r="D11" s="159" t="s">
        <v>23</v>
      </c>
      <c r="E11" s="159">
        <v>630</v>
      </c>
      <c r="F11" s="159">
        <v>382</v>
      </c>
      <c r="G11" s="160">
        <v>240660</v>
      </c>
      <c r="I11">
        <f t="shared" si="0"/>
        <v>240660</v>
      </c>
    </row>
    <row r="12" spans="3:9" ht="21" customHeight="1" thickBot="1" x14ac:dyDescent="0.3">
      <c r="C12" s="158" t="s">
        <v>1054</v>
      </c>
      <c r="D12" s="159" t="s">
        <v>23</v>
      </c>
      <c r="E12" s="159">
        <v>76</v>
      </c>
      <c r="F12" s="159">
        <v>568</v>
      </c>
      <c r="G12" s="160">
        <v>43168</v>
      </c>
      <c r="I12">
        <f t="shared" si="0"/>
        <v>43168</v>
      </c>
    </row>
    <row r="13" spans="3:9" ht="21" customHeight="1" thickBot="1" x14ac:dyDescent="0.3">
      <c r="C13" s="158" t="s">
        <v>1055</v>
      </c>
      <c r="D13" s="159" t="s">
        <v>23</v>
      </c>
      <c r="E13" s="159">
        <v>76</v>
      </c>
      <c r="F13" s="159">
        <v>568</v>
      </c>
      <c r="G13" s="160">
        <v>43168</v>
      </c>
      <c r="I13">
        <f t="shared" si="0"/>
        <v>43168</v>
      </c>
    </row>
    <row r="14" spans="3:9" ht="21" customHeight="1" thickBot="1" x14ac:dyDescent="0.3">
      <c r="C14" s="161" t="s">
        <v>1056</v>
      </c>
      <c r="D14" s="162" t="s">
        <v>243</v>
      </c>
      <c r="E14" s="159">
        <v>4</v>
      </c>
      <c r="F14" s="159">
        <v>187980</v>
      </c>
      <c r="G14" s="160">
        <v>751920</v>
      </c>
      <c r="I14">
        <f t="shared" si="0"/>
        <v>751920</v>
      </c>
    </row>
    <row r="15" spans="3:9" ht="21" customHeight="1" thickBot="1" x14ac:dyDescent="0.3">
      <c r="C15" s="161" t="s">
        <v>1057</v>
      </c>
      <c r="D15" s="159" t="s">
        <v>23</v>
      </c>
      <c r="E15" s="159">
        <v>1</v>
      </c>
      <c r="F15" s="159">
        <v>145000</v>
      </c>
      <c r="G15" s="160">
        <v>145000</v>
      </c>
      <c r="I15">
        <f t="shared" si="0"/>
        <v>145000</v>
      </c>
    </row>
    <row r="16" spans="3:9" ht="21" customHeight="1" thickBot="1" x14ac:dyDescent="0.3">
      <c r="C16" s="161" t="s">
        <v>279</v>
      </c>
      <c r="D16" s="159" t="s">
        <v>23</v>
      </c>
      <c r="E16" s="159">
        <v>1</v>
      </c>
      <c r="F16" s="159">
        <v>109662</v>
      </c>
      <c r="G16" s="160">
        <v>109662</v>
      </c>
      <c r="I16">
        <f t="shared" si="0"/>
        <v>109662</v>
      </c>
    </row>
    <row r="17" spans="3:9" ht="21" customHeight="1" thickBot="1" x14ac:dyDescent="0.3">
      <c r="C17" s="161" t="s">
        <v>282</v>
      </c>
      <c r="D17" s="159" t="s">
        <v>383</v>
      </c>
      <c r="E17" s="159">
        <v>1</v>
      </c>
      <c r="F17" s="159">
        <v>292219</v>
      </c>
      <c r="G17" s="160">
        <v>292219</v>
      </c>
      <c r="I17">
        <f t="shared" si="0"/>
        <v>292219</v>
      </c>
    </row>
    <row r="18" spans="3:9" ht="21" customHeight="1" thickBot="1" x14ac:dyDescent="0.3">
      <c r="C18" s="161" t="s">
        <v>1058</v>
      </c>
      <c r="D18" s="159" t="s">
        <v>23</v>
      </c>
      <c r="E18" s="159">
        <v>4</v>
      </c>
      <c r="F18" s="159">
        <v>3250</v>
      </c>
      <c r="G18" s="160">
        <v>13000</v>
      </c>
      <c r="I18">
        <f t="shared" si="0"/>
        <v>13000</v>
      </c>
    </row>
    <row r="19" spans="3:9" ht="21" customHeight="1" thickBot="1" x14ac:dyDescent="0.3">
      <c r="C19" s="161" t="s">
        <v>1059</v>
      </c>
      <c r="D19" s="159" t="s">
        <v>23</v>
      </c>
      <c r="E19" s="159">
        <v>10</v>
      </c>
      <c r="F19" s="159">
        <v>3250</v>
      </c>
      <c r="G19" s="160">
        <v>32500</v>
      </c>
      <c r="I19">
        <f t="shared" si="0"/>
        <v>32500</v>
      </c>
    </row>
    <row r="20" spans="3:9" ht="21" customHeight="1" thickBot="1" x14ac:dyDescent="0.3">
      <c r="C20" s="161" t="s">
        <v>296</v>
      </c>
      <c r="D20" s="159" t="s">
        <v>23</v>
      </c>
      <c r="E20" s="159">
        <v>1</v>
      </c>
      <c r="F20" s="159">
        <v>1322040</v>
      </c>
      <c r="G20" s="159" t="s">
        <v>1060</v>
      </c>
      <c r="I20">
        <f t="shared" si="0"/>
        <v>1322040</v>
      </c>
    </row>
    <row r="21" spans="3:9" ht="21" customHeight="1" thickBot="1" x14ac:dyDescent="0.3">
      <c r="C21" s="161" t="s">
        <v>298</v>
      </c>
      <c r="D21" s="159" t="s">
        <v>23</v>
      </c>
      <c r="E21" s="159">
        <v>1</v>
      </c>
      <c r="F21" s="159">
        <v>1308000</v>
      </c>
      <c r="G21" s="159" t="s">
        <v>1061</v>
      </c>
      <c r="I21">
        <f t="shared" si="0"/>
        <v>1308000</v>
      </c>
    </row>
    <row r="22" spans="3:9" ht="21" customHeight="1" thickBot="1" x14ac:dyDescent="0.3">
      <c r="C22" s="161" t="s">
        <v>1062</v>
      </c>
      <c r="D22" s="159" t="s">
        <v>274</v>
      </c>
      <c r="E22" s="159">
        <v>1</v>
      </c>
      <c r="F22" s="159">
        <v>98730</v>
      </c>
      <c r="G22" s="160">
        <v>98730</v>
      </c>
      <c r="I22">
        <f t="shared" si="0"/>
        <v>98730</v>
      </c>
    </row>
    <row r="23" spans="3:9" ht="21" customHeight="1" thickBot="1" x14ac:dyDescent="0.3">
      <c r="C23" s="161" t="s">
        <v>1063</v>
      </c>
      <c r="D23" s="159" t="s">
        <v>383</v>
      </c>
      <c r="E23" s="159">
        <v>4</v>
      </c>
      <c r="F23" s="159">
        <v>45240</v>
      </c>
      <c r="G23" s="159">
        <v>180960</v>
      </c>
      <c r="I23">
        <f t="shared" si="0"/>
        <v>180960</v>
      </c>
    </row>
    <row r="24" spans="3:9" ht="21" customHeight="1" thickBot="1" x14ac:dyDescent="0.3">
      <c r="C24" s="161" t="s">
        <v>1064</v>
      </c>
      <c r="D24" s="159" t="s">
        <v>274</v>
      </c>
      <c r="E24" s="159">
        <v>4</v>
      </c>
      <c r="F24" s="159">
        <v>3000</v>
      </c>
      <c r="G24" s="159">
        <v>12000</v>
      </c>
      <c r="I24">
        <f t="shared" si="0"/>
        <v>12000</v>
      </c>
    </row>
    <row r="25" spans="3:9" ht="21" customHeight="1" thickBot="1" x14ac:dyDescent="0.3">
      <c r="C25" s="161" t="s">
        <v>1065</v>
      </c>
      <c r="D25" s="159" t="s">
        <v>243</v>
      </c>
      <c r="E25" s="159">
        <v>2</v>
      </c>
      <c r="F25" s="159">
        <v>3000</v>
      </c>
      <c r="G25" s="159">
        <v>6000</v>
      </c>
      <c r="I25">
        <f t="shared" si="0"/>
        <v>6000</v>
      </c>
    </row>
    <row r="26" spans="3:9" ht="21" customHeight="1" thickBot="1" x14ac:dyDescent="0.3">
      <c r="C26" s="161" t="s">
        <v>1066</v>
      </c>
      <c r="D26" s="159" t="s">
        <v>274</v>
      </c>
      <c r="E26" s="159">
        <v>4</v>
      </c>
      <c r="F26" s="160">
        <v>3000</v>
      </c>
      <c r="G26" s="160">
        <v>12000</v>
      </c>
      <c r="I26">
        <f t="shared" si="0"/>
        <v>12000</v>
      </c>
    </row>
    <row r="27" spans="3:9" ht="21" customHeight="1" thickBot="1" x14ac:dyDescent="0.3">
      <c r="C27" s="161" t="s">
        <v>309</v>
      </c>
      <c r="D27" s="159" t="s">
        <v>23</v>
      </c>
      <c r="E27" s="159">
        <v>2</v>
      </c>
      <c r="F27" s="159">
        <v>451743</v>
      </c>
      <c r="G27" s="159">
        <v>903486</v>
      </c>
      <c r="I27">
        <f t="shared" si="0"/>
        <v>903486</v>
      </c>
    </row>
    <row r="28" spans="3:9" ht="21" customHeight="1" thickBot="1" x14ac:dyDescent="0.3">
      <c r="C28" s="161" t="s">
        <v>312</v>
      </c>
      <c r="D28" s="159" t="s">
        <v>23</v>
      </c>
      <c r="E28" s="159">
        <v>1</v>
      </c>
      <c r="F28" s="159">
        <v>205725</v>
      </c>
      <c r="G28" s="159">
        <v>205725</v>
      </c>
      <c r="I28">
        <f t="shared" si="0"/>
        <v>205725</v>
      </c>
    </row>
    <row r="29" spans="3:9" ht="21" customHeight="1" thickBot="1" x14ac:dyDescent="0.3">
      <c r="C29" s="161" t="s">
        <v>313</v>
      </c>
      <c r="D29" s="159" t="s">
        <v>23</v>
      </c>
      <c r="E29" s="159">
        <v>1</v>
      </c>
      <c r="F29" s="159">
        <v>56810</v>
      </c>
      <c r="G29" s="159">
        <v>56810</v>
      </c>
      <c r="I29">
        <f t="shared" si="0"/>
        <v>56810</v>
      </c>
    </row>
    <row r="30" spans="3:9" ht="21" customHeight="1" thickBot="1" x14ac:dyDescent="0.3">
      <c r="C30" s="161" t="s">
        <v>315</v>
      </c>
      <c r="D30" s="159" t="s">
        <v>23</v>
      </c>
      <c r="E30" s="159">
        <v>1</v>
      </c>
      <c r="F30" s="159">
        <v>230776</v>
      </c>
      <c r="G30" s="159">
        <v>230776</v>
      </c>
      <c r="I30">
        <f t="shared" si="0"/>
        <v>230776</v>
      </c>
    </row>
    <row r="31" spans="3:9" ht="21" customHeight="1" thickBot="1" x14ac:dyDescent="0.3">
      <c r="C31" s="161" t="s">
        <v>317</v>
      </c>
      <c r="D31" s="159" t="s">
        <v>23</v>
      </c>
      <c r="E31" s="159">
        <v>1</v>
      </c>
      <c r="F31" s="159">
        <v>50700</v>
      </c>
      <c r="G31" s="159">
        <v>50700</v>
      </c>
      <c r="I31">
        <f t="shared" si="0"/>
        <v>50700</v>
      </c>
    </row>
    <row r="32" spans="3:9" ht="21" customHeight="1" thickBot="1" x14ac:dyDescent="0.3">
      <c r="C32" s="161" t="s">
        <v>319</v>
      </c>
      <c r="D32" s="159" t="s">
        <v>23</v>
      </c>
      <c r="E32" s="159">
        <v>1</v>
      </c>
      <c r="F32" s="159">
        <v>23153</v>
      </c>
      <c r="G32" s="159">
        <v>23153</v>
      </c>
      <c r="I32">
        <f t="shared" si="0"/>
        <v>23153</v>
      </c>
    </row>
    <row r="33" spans="3:9" ht="21" customHeight="1" thickBot="1" x14ac:dyDescent="0.3">
      <c r="C33" s="161" t="s">
        <v>321</v>
      </c>
      <c r="D33" s="159" t="s">
        <v>23</v>
      </c>
      <c r="E33" s="159">
        <v>2</v>
      </c>
      <c r="F33" s="159">
        <v>13500</v>
      </c>
      <c r="G33" s="159">
        <v>27000</v>
      </c>
      <c r="I33">
        <f t="shared" si="0"/>
        <v>27000</v>
      </c>
    </row>
    <row r="34" spans="3:9" ht="21" customHeight="1" thickBot="1" x14ac:dyDescent="0.3">
      <c r="C34" s="161" t="s">
        <v>1067</v>
      </c>
      <c r="D34" s="159" t="s">
        <v>23</v>
      </c>
      <c r="E34" s="159">
        <v>1</v>
      </c>
      <c r="F34" s="159">
        <v>1533740</v>
      </c>
      <c r="G34" s="159">
        <v>1533740</v>
      </c>
      <c r="I34">
        <f t="shared" si="0"/>
        <v>1533740</v>
      </c>
    </row>
    <row r="35" spans="3:9" ht="21" customHeight="1" thickBot="1" x14ac:dyDescent="0.3">
      <c r="C35" s="161" t="s">
        <v>1068</v>
      </c>
      <c r="D35" s="159" t="s">
        <v>23</v>
      </c>
      <c r="E35" s="159">
        <v>4</v>
      </c>
      <c r="F35" s="159">
        <v>43500</v>
      </c>
      <c r="G35" s="159">
        <v>174000</v>
      </c>
      <c r="I35">
        <f t="shared" si="0"/>
        <v>174000</v>
      </c>
    </row>
    <row r="36" spans="3:9" ht="21" customHeight="1" thickBot="1" x14ac:dyDescent="0.3">
      <c r="C36" s="161" t="s">
        <v>1069</v>
      </c>
      <c r="D36" s="159" t="s">
        <v>23</v>
      </c>
      <c r="E36" s="159">
        <v>5</v>
      </c>
      <c r="F36" s="159">
        <v>15000</v>
      </c>
      <c r="G36" s="159">
        <v>75000</v>
      </c>
      <c r="I36">
        <f t="shared" si="0"/>
        <v>75000</v>
      </c>
    </row>
    <row r="37" spans="3:9" ht="21" customHeight="1" thickBot="1" x14ac:dyDescent="0.3">
      <c r="C37" s="161" t="s">
        <v>1070</v>
      </c>
      <c r="D37" s="159" t="s">
        <v>1071</v>
      </c>
      <c r="E37" s="159">
        <v>16</v>
      </c>
      <c r="F37" s="159">
        <v>10400</v>
      </c>
      <c r="G37" s="159">
        <v>166400</v>
      </c>
      <c r="I37">
        <f t="shared" si="0"/>
        <v>166400</v>
      </c>
    </row>
    <row r="38" spans="3:9" ht="21" customHeight="1" thickBot="1" x14ac:dyDescent="0.3">
      <c r="C38" s="161" t="s">
        <v>1072</v>
      </c>
      <c r="D38" s="159" t="s">
        <v>23</v>
      </c>
      <c r="E38" s="159">
        <v>2</v>
      </c>
      <c r="F38" s="160">
        <v>60000</v>
      </c>
      <c r="G38" s="160">
        <v>120000</v>
      </c>
      <c r="I38">
        <f t="shared" si="0"/>
        <v>120000</v>
      </c>
    </row>
    <row r="39" spans="3:9" ht="21" customHeight="1" thickBot="1" x14ac:dyDescent="0.3">
      <c r="C39" s="161" t="s">
        <v>1073</v>
      </c>
      <c r="D39" s="159" t="s">
        <v>23</v>
      </c>
      <c r="E39" s="159">
        <v>2</v>
      </c>
      <c r="F39" s="159">
        <v>58500</v>
      </c>
      <c r="G39" s="159">
        <v>117000</v>
      </c>
      <c r="I39">
        <f t="shared" si="0"/>
        <v>117000</v>
      </c>
    </row>
    <row r="40" spans="3:9" ht="21" customHeight="1" thickBot="1" x14ac:dyDescent="0.3">
      <c r="C40" s="568" t="s">
        <v>1074</v>
      </c>
      <c r="D40" s="569"/>
      <c r="E40" s="569"/>
      <c r="F40" s="570"/>
      <c r="G40" s="163"/>
    </row>
    <row r="41" spans="3:9" ht="21" customHeight="1" thickBot="1" x14ac:dyDescent="0.3">
      <c r="C41" s="568" t="s">
        <v>1075</v>
      </c>
      <c r="D41" s="569"/>
      <c r="E41" s="569"/>
      <c r="F41" s="570"/>
      <c r="G41" s="164" t="s">
        <v>1076</v>
      </c>
      <c r="I41">
        <f>SUM(I7:I39)</f>
        <v>11310977</v>
      </c>
    </row>
    <row r="42" spans="3:9" ht="21" customHeight="1" x14ac:dyDescent="0.25">
      <c r="C42" s="589" t="s">
        <v>1077</v>
      </c>
      <c r="D42" s="590"/>
      <c r="E42" s="590"/>
      <c r="F42" s="590"/>
      <c r="G42" s="591"/>
    </row>
    <row r="43" spans="3:9" ht="21" customHeight="1" thickBot="1" x14ac:dyDescent="0.3">
      <c r="C43" s="586" t="s">
        <v>1078</v>
      </c>
      <c r="D43" s="587"/>
      <c r="E43" s="587"/>
      <c r="F43" s="587"/>
      <c r="G43" s="588"/>
    </row>
    <row r="44" spans="3:9" ht="21" customHeight="1" thickBot="1" x14ac:dyDescent="0.3">
      <c r="C44" s="165" t="s">
        <v>1079</v>
      </c>
      <c r="D44" s="166" t="s">
        <v>23</v>
      </c>
      <c r="E44" s="166">
        <v>4</v>
      </c>
      <c r="F44" s="166">
        <v>49257</v>
      </c>
      <c r="G44" s="160">
        <v>197028</v>
      </c>
      <c r="I44">
        <f>E44*F44</f>
        <v>197028</v>
      </c>
    </row>
    <row r="45" spans="3:9" ht="21" customHeight="1" thickBot="1" x14ac:dyDescent="0.3">
      <c r="C45" s="165" t="s">
        <v>59</v>
      </c>
      <c r="D45" s="166" t="s">
        <v>23</v>
      </c>
      <c r="E45" s="166">
        <v>800</v>
      </c>
      <c r="F45" s="166">
        <v>1885</v>
      </c>
      <c r="G45" s="159" t="s">
        <v>1080</v>
      </c>
      <c r="I45">
        <f t="shared" ref="I45:I65" si="1">E45*F45</f>
        <v>1508000</v>
      </c>
    </row>
    <row r="46" spans="3:9" ht="21" customHeight="1" thickBot="1" x14ac:dyDescent="0.3">
      <c r="C46" s="165" t="s">
        <v>1081</v>
      </c>
      <c r="D46" s="166" t="s">
        <v>23</v>
      </c>
      <c r="E46" s="166">
        <v>64</v>
      </c>
      <c r="F46" s="166">
        <v>5541</v>
      </c>
      <c r="G46" s="160">
        <v>354624</v>
      </c>
      <c r="I46">
        <f t="shared" si="1"/>
        <v>354624</v>
      </c>
    </row>
    <row r="47" spans="3:9" ht="21" customHeight="1" thickBot="1" x14ac:dyDescent="0.3">
      <c r="C47" s="167" t="s">
        <v>1082</v>
      </c>
      <c r="D47" s="166" t="s">
        <v>23</v>
      </c>
      <c r="E47" s="166">
        <v>24</v>
      </c>
      <c r="F47" s="166">
        <v>10400</v>
      </c>
      <c r="G47" s="160">
        <v>249600</v>
      </c>
      <c r="I47">
        <f t="shared" si="1"/>
        <v>249600</v>
      </c>
    </row>
    <row r="48" spans="3:9" ht="21" customHeight="1" thickBot="1" x14ac:dyDescent="0.3">
      <c r="C48" s="167" t="s">
        <v>1083</v>
      </c>
      <c r="D48" s="166" t="s">
        <v>274</v>
      </c>
      <c r="E48" s="166">
        <v>1</v>
      </c>
      <c r="F48" s="166">
        <v>25200</v>
      </c>
      <c r="G48" s="160">
        <v>25200</v>
      </c>
      <c r="I48">
        <f t="shared" si="1"/>
        <v>25200</v>
      </c>
    </row>
    <row r="49" spans="3:9" ht="21" customHeight="1" thickBot="1" x14ac:dyDescent="0.3">
      <c r="C49" s="167" t="s">
        <v>1084</v>
      </c>
      <c r="D49" s="166" t="s">
        <v>243</v>
      </c>
      <c r="E49" s="166">
        <v>2</v>
      </c>
      <c r="F49" s="166">
        <v>16950</v>
      </c>
      <c r="G49" s="160">
        <v>33900</v>
      </c>
      <c r="I49">
        <f t="shared" si="1"/>
        <v>33900</v>
      </c>
    </row>
    <row r="50" spans="3:9" ht="21" customHeight="1" x14ac:dyDescent="0.25">
      <c r="C50" s="168" t="s">
        <v>1085</v>
      </c>
      <c r="D50" s="574" t="s">
        <v>274</v>
      </c>
      <c r="E50" s="574">
        <v>1</v>
      </c>
      <c r="F50" s="574">
        <v>31200</v>
      </c>
      <c r="G50" s="581">
        <v>31200</v>
      </c>
      <c r="I50">
        <f t="shared" si="1"/>
        <v>31200</v>
      </c>
    </row>
    <row r="51" spans="3:9" ht="21" customHeight="1" thickBot="1" x14ac:dyDescent="0.3">
      <c r="C51" s="167" t="s">
        <v>1086</v>
      </c>
      <c r="D51" s="575"/>
      <c r="E51" s="575"/>
      <c r="F51" s="575"/>
      <c r="G51" s="582"/>
      <c r="I51">
        <f t="shared" si="1"/>
        <v>0</v>
      </c>
    </row>
    <row r="52" spans="3:9" ht="21" customHeight="1" thickBot="1" x14ac:dyDescent="0.3">
      <c r="C52" s="167" t="s">
        <v>229</v>
      </c>
      <c r="D52" s="166" t="s">
        <v>23</v>
      </c>
      <c r="E52" s="166">
        <v>5</v>
      </c>
      <c r="F52" s="166">
        <v>59719</v>
      </c>
      <c r="G52" s="160">
        <v>298595</v>
      </c>
      <c r="I52">
        <f t="shared" si="1"/>
        <v>298595</v>
      </c>
    </row>
    <row r="53" spans="3:9" ht="21" customHeight="1" thickBot="1" x14ac:dyDescent="0.3">
      <c r="C53" s="167" t="s">
        <v>1087</v>
      </c>
      <c r="D53" s="166" t="s">
        <v>23</v>
      </c>
      <c r="E53" s="166">
        <v>2</v>
      </c>
      <c r="F53" s="166">
        <v>165000</v>
      </c>
      <c r="G53" s="160">
        <v>330000</v>
      </c>
      <c r="I53">
        <f t="shared" si="1"/>
        <v>330000</v>
      </c>
    </row>
    <row r="54" spans="3:9" ht="21" customHeight="1" thickBot="1" x14ac:dyDescent="0.3">
      <c r="C54" s="158" t="s">
        <v>1088</v>
      </c>
      <c r="D54" s="159" t="s">
        <v>23</v>
      </c>
      <c r="E54" s="159">
        <v>1</v>
      </c>
      <c r="F54" s="166">
        <v>38000</v>
      </c>
      <c r="G54" s="160">
        <v>45000</v>
      </c>
      <c r="I54">
        <f t="shared" si="1"/>
        <v>38000</v>
      </c>
    </row>
    <row r="55" spans="3:9" ht="21" customHeight="1" thickBot="1" x14ac:dyDescent="0.3">
      <c r="C55" s="158" t="s">
        <v>1089</v>
      </c>
      <c r="D55" s="159" t="s">
        <v>23</v>
      </c>
      <c r="E55" s="159">
        <v>2</v>
      </c>
      <c r="F55" s="169">
        <v>130481</v>
      </c>
      <c r="G55" s="160">
        <v>260952</v>
      </c>
      <c r="I55">
        <f t="shared" si="1"/>
        <v>260962</v>
      </c>
    </row>
    <row r="56" spans="3:9" ht="21" customHeight="1" thickBot="1" x14ac:dyDescent="0.3">
      <c r="C56" s="158" t="s">
        <v>1090</v>
      </c>
      <c r="D56" s="159" t="s">
        <v>23</v>
      </c>
      <c r="E56" s="159">
        <v>1</v>
      </c>
      <c r="F56" s="166">
        <v>767207</v>
      </c>
      <c r="G56" s="160">
        <v>767207</v>
      </c>
      <c r="I56">
        <f t="shared" si="1"/>
        <v>767207</v>
      </c>
    </row>
    <row r="57" spans="3:9" ht="21" customHeight="1" thickBot="1" x14ac:dyDescent="0.3">
      <c r="C57" s="158" t="s">
        <v>1091</v>
      </c>
      <c r="D57" s="159" t="s">
        <v>23</v>
      </c>
      <c r="E57" s="159">
        <v>2</v>
      </c>
      <c r="F57" s="166">
        <v>299047</v>
      </c>
      <c r="G57" s="160">
        <v>598094</v>
      </c>
      <c r="I57">
        <f t="shared" si="1"/>
        <v>598094</v>
      </c>
    </row>
    <row r="58" spans="3:9" ht="21" customHeight="1" thickBot="1" x14ac:dyDescent="0.3">
      <c r="C58" s="158" t="s">
        <v>1092</v>
      </c>
      <c r="D58" s="159" t="s">
        <v>23</v>
      </c>
      <c r="E58" s="159">
        <v>1</v>
      </c>
      <c r="F58" s="166">
        <v>113386</v>
      </c>
      <c r="G58" s="160">
        <v>113386</v>
      </c>
      <c r="I58">
        <f t="shared" si="1"/>
        <v>113386</v>
      </c>
    </row>
    <row r="59" spans="3:9" ht="21" customHeight="1" thickBot="1" x14ac:dyDescent="0.3">
      <c r="C59" s="158" t="s">
        <v>1093</v>
      </c>
      <c r="D59" s="159" t="s">
        <v>23</v>
      </c>
      <c r="E59" s="159">
        <v>2</v>
      </c>
      <c r="F59" s="166">
        <v>4853</v>
      </c>
      <c r="G59" s="160">
        <v>9706</v>
      </c>
      <c r="I59">
        <f t="shared" si="1"/>
        <v>9706</v>
      </c>
    </row>
    <row r="60" spans="3:9" ht="21" customHeight="1" thickBot="1" x14ac:dyDescent="0.3">
      <c r="C60" s="158" t="s">
        <v>1094</v>
      </c>
      <c r="D60" s="159" t="s">
        <v>23</v>
      </c>
      <c r="E60" s="159">
        <v>1</v>
      </c>
      <c r="F60" s="166">
        <v>72790</v>
      </c>
      <c r="G60" s="160">
        <v>72790</v>
      </c>
      <c r="I60">
        <f t="shared" si="1"/>
        <v>72790</v>
      </c>
    </row>
    <row r="61" spans="3:9" ht="21" customHeight="1" thickBot="1" x14ac:dyDescent="0.3">
      <c r="C61" s="158" t="s">
        <v>1095</v>
      </c>
      <c r="D61" s="159" t="s">
        <v>23</v>
      </c>
      <c r="E61" s="159">
        <v>1</v>
      </c>
      <c r="F61" s="166">
        <v>1557660</v>
      </c>
      <c r="G61" s="159" t="s">
        <v>1096</v>
      </c>
      <c r="I61">
        <f t="shared" si="1"/>
        <v>1557660</v>
      </c>
    </row>
    <row r="62" spans="3:9" ht="21" customHeight="1" thickBot="1" x14ac:dyDescent="0.3">
      <c r="C62" s="158" t="s">
        <v>1097</v>
      </c>
      <c r="D62" s="159" t="s">
        <v>23</v>
      </c>
      <c r="E62" s="159">
        <v>1</v>
      </c>
      <c r="F62" s="166">
        <v>1219660</v>
      </c>
      <c r="G62" s="159" t="s">
        <v>1098</v>
      </c>
      <c r="I62">
        <f t="shared" si="1"/>
        <v>1219660</v>
      </c>
    </row>
    <row r="63" spans="3:9" ht="21" customHeight="1" thickBot="1" x14ac:dyDescent="0.3">
      <c r="C63" s="158" t="s">
        <v>1099</v>
      </c>
      <c r="D63" s="159" t="s">
        <v>23</v>
      </c>
      <c r="E63" s="159">
        <v>2</v>
      </c>
      <c r="F63" s="166">
        <v>72990</v>
      </c>
      <c r="G63" s="160">
        <v>145980</v>
      </c>
      <c r="I63">
        <f t="shared" si="1"/>
        <v>145980</v>
      </c>
    </row>
    <row r="64" spans="3:9" ht="21" customHeight="1" thickBot="1" x14ac:dyDescent="0.3">
      <c r="C64" s="158" t="s">
        <v>1100</v>
      </c>
      <c r="D64" s="159" t="s">
        <v>23</v>
      </c>
      <c r="E64" s="159">
        <v>1</v>
      </c>
      <c r="F64" s="160">
        <v>22000</v>
      </c>
      <c r="G64" s="160">
        <v>22000</v>
      </c>
      <c r="I64">
        <f t="shared" si="1"/>
        <v>22000</v>
      </c>
    </row>
    <row r="65" spans="3:9" ht="21" customHeight="1" thickBot="1" x14ac:dyDescent="0.3">
      <c r="C65" s="158" t="s">
        <v>1101</v>
      </c>
      <c r="D65" s="159" t="s">
        <v>23</v>
      </c>
      <c r="E65" s="159">
        <v>1</v>
      </c>
      <c r="F65" s="160">
        <v>24800</v>
      </c>
      <c r="G65" s="160">
        <v>24800</v>
      </c>
      <c r="I65">
        <f t="shared" si="1"/>
        <v>24800</v>
      </c>
    </row>
    <row r="66" spans="3:9" ht="21" customHeight="1" thickBot="1" x14ac:dyDescent="0.3">
      <c r="C66" s="568" t="s">
        <v>1074</v>
      </c>
      <c r="D66" s="569"/>
      <c r="E66" s="569"/>
      <c r="F66" s="570"/>
      <c r="G66" s="163"/>
    </row>
    <row r="67" spans="3:9" ht="21" customHeight="1" thickBot="1" x14ac:dyDescent="0.3">
      <c r="C67" s="571" t="s">
        <v>1102</v>
      </c>
      <c r="D67" s="572"/>
      <c r="E67" s="572"/>
      <c r="F67" s="573"/>
      <c r="G67" s="170" t="s">
        <v>1103</v>
      </c>
      <c r="I67">
        <f>SUM(I44:I65)</f>
        <v>7858392</v>
      </c>
    </row>
    <row r="68" spans="3:9" ht="21" customHeight="1" x14ac:dyDescent="0.25">
      <c r="C68" s="583" t="s">
        <v>1104</v>
      </c>
      <c r="D68" s="584"/>
      <c r="E68" s="584"/>
      <c r="F68" s="584"/>
      <c r="G68" s="585"/>
    </row>
    <row r="69" spans="3:9" ht="21" customHeight="1" thickBot="1" x14ac:dyDescent="0.3">
      <c r="C69" s="578" t="s">
        <v>1105</v>
      </c>
      <c r="D69" s="579"/>
      <c r="E69" s="579"/>
      <c r="F69" s="579"/>
      <c r="G69" s="580"/>
    </row>
    <row r="70" spans="3:9" ht="21" customHeight="1" thickBot="1" x14ac:dyDescent="0.3">
      <c r="C70" s="167" t="s">
        <v>1106</v>
      </c>
      <c r="D70" s="166" t="s">
        <v>383</v>
      </c>
      <c r="E70" s="166">
        <v>80</v>
      </c>
      <c r="F70" s="166">
        <v>312</v>
      </c>
      <c r="G70" s="160">
        <v>24960</v>
      </c>
      <c r="I70">
        <f>E70*F70</f>
        <v>24960</v>
      </c>
    </row>
    <row r="71" spans="3:9" ht="21" customHeight="1" thickBot="1" x14ac:dyDescent="0.3">
      <c r="C71" s="167" t="s">
        <v>1107</v>
      </c>
      <c r="D71" s="166" t="s">
        <v>383</v>
      </c>
      <c r="E71" s="166">
        <v>80</v>
      </c>
      <c r="F71" s="166">
        <v>598</v>
      </c>
      <c r="G71" s="160">
        <v>47840</v>
      </c>
      <c r="I71">
        <f t="shared" ref="I71:I94" si="2">E71*F71</f>
        <v>47840</v>
      </c>
    </row>
    <row r="72" spans="3:9" ht="21" customHeight="1" thickBot="1" x14ac:dyDescent="0.3">
      <c r="C72" s="167" t="s">
        <v>427</v>
      </c>
      <c r="D72" s="166" t="s">
        <v>383</v>
      </c>
      <c r="E72" s="166">
        <v>50</v>
      </c>
      <c r="F72" s="166">
        <v>598</v>
      </c>
      <c r="G72" s="160">
        <v>29900</v>
      </c>
      <c r="I72">
        <f t="shared" si="2"/>
        <v>29900</v>
      </c>
    </row>
    <row r="73" spans="3:9" ht="21" customHeight="1" thickBot="1" x14ac:dyDescent="0.3">
      <c r="C73" s="167" t="s">
        <v>428</v>
      </c>
      <c r="D73" s="166" t="s">
        <v>383</v>
      </c>
      <c r="E73" s="166">
        <v>35</v>
      </c>
      <c r="F73" s="166">
        <v>538</v>
      </c>
      <c r="G73" s="160">
        <v>18830</v>
      </c>
      <c r="I73">
        <f t="shared" si="2"/>
        <v>18830</v>
      </c>
    </row>
    <row r="74" spans="3:9" ht="21" customHeight="1" thickBot="1" x14ac:dyDescent="0.3">
      <c r="C74" s="167" t="s">
        <v>429</v>
      </c>
      <c r="D74" s="166" t="s">
        <v>383</v>
      </c>
      <c r="E74" s="166">
        <v>35</v>
      </c>
      <c r="F74" s="166">
        <v>538</v>
      </c>
      <c r="G74" s="160">
        <v>18830</v>
      </c>
      <c r="I74">
        <f t="shared" si="2"/>
        <v>18830</v>
      </c>
    </row>
    <row r="75" spans="3:9" ht="21" customHeight="1" thickBot="1" x14ac:dyDescent="0.3">
      <c r="C75" s="167" t="s">
        <v>431</v>
      </c>
      <c r="D75" s="166" t="s">
        <v>383</v>
      </c>
      <c r="E75" s="166">
        <v>10</v>
      </c>
      <c r="F75" s="166">
        <v>312</v>
      </c>
      <c r="G75" s="160">
        <v>3120</v>
      </c>
      <c r="I75">
        <f t="shared" si="2"/>
        <v>3120</v>
      </c>
    </row>
    <row r="76" spans="3:9" ht="21" customHeight="1" thickBot="1" x14ac:dyDescent="0.3">
      <c r="C76" s="167" t="s">
        <v>432</v>
      </c>
      <c r="D76" s="166" t="s">
        <v>383</v>
      </c>
      <c r="E76" s="166">
        <v>20</v>
      </c>
      <c r="F76" s="166">
        <v>1716</v>
      </c>
      <c r="G76" s="160">
        <v>34320</v>
      </c>
      <c r="I76">
        <f t="shared" si="2"/>
        <v>34320</v>
      </c>
    </row>
    <row r="77" spans="3:9" ht="21" customHeight="1" thickBot="1" x14ac:dyDescent="0.3">
      <c r="C77" s="167" t="s">
        <v>433</v>
      </c>
      <c r="D77" s="166" t="s">
        <v>383</v>
      </c>
      <c r="E77" s="166">
        <v>30</v>
      </c>
      <c r="F77" s="166">
        <v>1716</v>
      </c>
      <c r="G77" s="160">
        <v>51480</v>
      </c>
      <c r="I77">
        <f t="shared" si="2"/>
        <v>51480</v>
      </c>
    </row>
    <row r="78" spans="3:9" ht="21" customHeight="1" thickBot="1" x14ac:dyDescent="0.3">
      <c r="C78" s="167" t="s">
        <v>434</v>
      </c>
      <c r="D78" s="166" t="s">
        <v>383</v>
      </c>
      <c r="E78" s="166">
        <v>40</v>
      </c>
      <c r="F78" s="166">
        <v>1716</v>
      </c>
      <c r="G78" s="160">
        <v>68640</v>
      </c>
      <c r="I78">
        <f t="shared" si="2"/>
        <v>68640</v>
      </c>
    </row>
    <row r="79" spans="3:9" ht="21" customHeight="1" thickBot="1" x14ac:dyDescent="0.3">
      <c r="C79" s="167" t="s">
        <v>435</v>
      </c>
      <c r="D79" s="166" t="s">
        <v>383</v>
      </c>
      <c r="E79" s="166">
        <v>80</v>
      </c>
      <c r="F79" s="166">
        <v>1716</v>
      </c>
      <c r="G79" s="160">
        <v>137280</v>
      </c>
      <c r="I79">
        <f t="shared" si="2"/>
        <v>137280</v>
      </c>
    </row>
    <row r="80" spans="3:9" ht="21" customHeight="1" thickBot="1" x14ac:dyDescent="0.3">
      <c r="C80" s="167" t="s">
        <v>430</v>
      </c>
      <c r="D80" s="166" t="s">
        <v>383</v>
      </c>
      <c r="E80" s="166">
        <v>150</v>
      </c>
      <c r="F80" s="166">
        <v>1411</v>
      </c>
      <c r="G80" s="160">
        <v>211650</v>
      </c>
      <c r="I80">
        <f t="shared" si="2"/>
        <v>211650</v>
      </c>
    </row>
    <row r="81" spans="3:9" ht="21" customHeight="1" thickBot="1" x14ac:dyDescent="0.3">
      <c r="C81" s="167" t="s">
        <v>1108</v>
      </c>
      <c r="D81" s="166" t="s">
        <v>383</v>
      </c>
      <c r="E81" s="166">
        <v>1</v>
      </c>
      <c r="F81" s="166">
        <v>41340</v>
      </c>
      <c r="G81" s="160">
        <v>41340</v>
      </c>
      <c r="I81">
        <f t="shared" si="2"/>
        <v>41340</v>
      </c>
    </row>
    <row r="82" spans="3:9" ht="21" customHeight="1" thickBot="1" x14ac:dyDescent="0.3">
      <c r="C82" s="167" t="s">
        <v>1109</v>
      </c>
      <c r="D82" s="166" t="s">
        <v>383</v>
      </c>
      <c r="E82" s="166">
        <v>1</v>
      </c>
      <c r="F82" s="166">
        <v>41340</v>
      </c>
      <c r="G82" s="160">
        <v>41340</v>
      </c>
      <c r="I82">
        <f t="shared" si="2"/>
        <v>41340</v>
      </c>
    </row>
    <row r="83" spans="3:9" ht="21" customHeight="1" thickBot="1" x14ac:dyDescent="0.3">
      <c r="C83" s="167" t="s">
        <v>1110</v>
      </c>
      <c r="D83" s="166" t="s">
        <v>23</v>
      </c>
      <c r="E83" s="166">
        <v>1</v>
      </c>
      <c r="F83" s="166">
        <v>463632</v>
      </c>
      <c r="G83" s="160">
        <v>463632</v>
      </c>
      <c r="I83">
        <f t="shared" si="2"/>
        <v>463632</v>
      </c>
    </row>
    <row r="84" spans="3:9" ht="21" customHeight="1" thickBot="1" x14ac:dyDescent="0.3">
      <c r="C84" s="167" t="s">
        <v>510</v>
      </c>
      <c r="D84" s="166" t="s">
        <v>23</v>
      </c>
      <c r="E84" s="166">
        <v>1</v>
      </c>
      <c r="F84" s="166">
        <v>301109</v>
      </c>
      <c r="G84" s="169">
        <v>301109</v>
      </c>
      <c r="I84">
        <f t="shared" si="2"/>
        <v>301109</v>
      </c>
    </row>
    <row r="85" spans="3:9" ht="21" customHeight="1" thickBot="1" x14ac:dyDescent="0.3">
      <c r="C85" s="167" t="s">
        <v>512</v>
      </c>
      <c r="D85" s="166" t="s">
        <v>23</v>
      </c>
      <c r="E85" s="166">
        <v>1</v>
      </c>
      <c r="F85" s="166">
        <v>468000</v>
      </c>
      <c r="G85" s="169">
        <v>468000</v>
      </c>
      <c r="I85">
        <f t="shared" si="2"/>
        <v>468000</v>
      </c>
    </row>
    <row r="86" spans="3:9" ht="21" customHeight="1" thickBot="1" x14ac:dyDescent="0.3">
      <c r="C86" s="167" t="s">
        <v>514</v>
      </c>
      <c r="D86" s="166" t="s">
        <v>23</v>
      </c>
      <c r="E86" s="166">
        <v>1</v>
      </c>
      <c r="F86" s="166">
        <v>325000</v>
      </c>
      <c r="G86" s="169">
        <v>325000</v>
      </c>
      <c r="I86">
        <f t="shared" si="2"/>
        <v>325000</v>
      </c>
    </row>
    <row r="87" spans="3:9" ht="21" customHeight="1" thickBot="1" x14ac:dyDescent="0.3">
      <c r="C87" s="167" t="s">
        <v>1111</v>
      </c>
      <c r="D87" s="166" t="s">
        <v>23</v>
      </c>
      <c r="E87" s="166">
        <v>1</v>
      </c>
      <c r="F87" s="166">
        <v>123500</v>
      </c>
      <c r="G87" s="169">
        <v>123500</v>
      </c>
      <c r="I87">
        <f t="shared" si="2"/>
        <v>123500</v>
      </c>
    </row>
    <row r="88" spans="3:9" ht="21" customHeight="1" thickBot="1" x14ac:dyDescent="0.3">
      <c r="C88" s="167" t="s">
        <v>1112</v>
      </c>
      <c r="D88" s="166" t="s">
        <v>23</v>
      </c>
      <c r="E88" s="166">
        <v>1</v>
      </c>
      <c r="F88" s="166">
        <v>57000</v>
      </c>
      <c r="G88" s="169">
        <v>57000</v>
      </c>
      <c r="I88">
        <f t="shared" si="2"/>
        <v>57000</v>
      </c>
    </row>
    <row r="89" spans="3:9" ht="21" customHeight="1" thickBot="1" x14ac:dyDescent="0.3">
      <c r="C89" s="167" t="s">
        <v>914</v>
      </c>
      <c r="D89" s="166" t="s">
        <v>23</v>
      </c>
      <c r="E89" s="166">
        <v>2</v>
      </c>
      <c r="F89" s="166">
        <v>28513</v>
      </c>
      <c r="G89" s="169">
        <v>57026</v>
      </c>
      <c r="I89">
        <f t="shared" si="2"/>
        <v>57026</v>
      </c>
    </row>
    <row r="90" spans="3:9" ht="21" customHeight="1" thickBot="1" x14ac:dyDescent="0.3">
      <c r="C90" s="167" t="s">
        <v>1113</v>
      </c>
      <c r="D90" s="166" t="s">
        <v>23</v>
      </c>
      <c r="E90" s="166">
        <v>6</v>
      </c>
      <c r="F90" s="166">
        <v>20400</v>
      </c>
      <c r="G90" s="166">
        <v>124400</v>
      </c>
      <c r="I90">
        <f t="shared" si="2"/>
        <v>122400</v>
      </c>
    </row>
    <row r="91" spans="3:9" ht="21" customHeight="1" thickBot="1" x14ac:dyDescent="0.3">
      <c r="C91" s="158" t="s">
        <v>1114</v>
      </c>
      <c r="D91" s="159" t="s">
        <v>383</v>
      </c>
      <c r="E91" s="159">
        <v>2</v>
      </c>
      <c r="F91" s="159">
        <v>25350</v>
      </c>
      <c r="G91" s="160">
        <v>50700</v>
      </c>
      <c r="I91">
        <f t="shared" si="2"/>
        <v>50700</v>
      </c>
    </row>
    <row r="92" spans="3:9" ht="21" customHeight="1" thickBot="1" x14ac:dyDescent="0.3">
      <c r="C92" s="158" t="s">
        <v>1115</v>
      </c>
      <c r="D92" s="159" t="s">
        <v>23</v>
      </c>
      <c r="E92" s="159">
        <v>2</v>
      </c>
      <c r="F92" s="159">
        <v>74800</v>
      </c>
      <c r="G92" s="159">
        <v>149600</v>
      </c>
      <c r="I92">
        <f t="shared" si="2"/>
        <v>149600</v>
      </c>
    </row>
    <row r="93" spans="3:9" ht="21" customHeight="1" thickBot="1" x14ac:dyDescent="0.3">
      <c r="C93" s="158" t="s">
        <v>1116</v>
      </c>
      <c r="D93" s="159" t="s">
        <v>23</v>
      </c>
      <c r="E93" s="159">
        <v>1</v>
      </c>
      <c r="F93" s="159">
        <v>103998</v>
      </c>
      <c r="G93" s="159">
        <v>103998</v>
      </c>
      <c r="I93">
        <f t="shared" si="2"/>
        <v>103998</v>
      </c>
    </row>
    <row r="94" spans="3:9" ht="21" customHeight="1" thickBot="1" x14ac:dyDescent="0.3">
      <c r="C94" s="158" t="s">
        <v>1117</v>
      </c>
      <c r="D94" s="159" t="s">
        <v>23</v>
      </c>
      <c r="E94" s="159">
        <v>1</v>
      </c>
      <c r="F94" s="159">
        <v>188498</v>
      </c>
      <c r="G94" s="159">
        <v>188498</v>
      </c>
      <c r="I94">
        <f t="shared" si="2"/>
        <v>188498</v>
      </c>
    </row>
    <row r="95" spans="3:9" ht="21" customHeight="1" thickBot="1" x14ac:dyDescent="0.3">
      <c r="C95" s="568" t="s">
        <v>1118</v>
      </c>
      <c r="D95" s="569"/>
      <c r="E95" s="569"/>
      <c r="F95" s="570"/>
      <c r="G95" s="163"/>
    </row>
    <row r="96" spans="3:9" ht="21" customHeight="1" thickBot="1" x14ac:dyDescent="0.3">
      <c r="C96" s="571" t="s">
        <v>1119</v>
      </c>
      <c r="D96" s="572"/>
      <c r="E96" s="572"/>
      <c r="F96" s="573"/>
      <c r="G96" s="170" t="s">
        <v>1120</v>
      </c>
      <c r="I96">
        <f>SUM(I70:I94)</f>
        <v>3139993</v>
      </c>
    </row>
    <row r="97" spans="3:9" ht="21" customHeight="1" x14ac:dyDescent="0.25">
      <c r="C97" s="583" t="s">
        <v>1121</v>
      </c>
      <c r="D97" s="584"/>
      <c r="E97" s="584"/>
      <c r="F97" s="584"/>
      <c r="G97" s="585"/>
    </row>
    <row r="98" spans="3:9" ht="21" customHeight="1" thickBot="1" x14ac:dyDescent="0.3">
      <c r="C98" s="578" t="s">
        <v>1122</v>
      </c>
      <c r="D98" s="579"/>
      <c r="E98" s="579"/>
      <c r="F98" s="579"/>
      <c r="G98" s="580"/>
    </row>
    <row r="99" spans="3:9" ht="21" customHeight="1" x14ac:dyDescent="0.25">
      <c r="C99" s="168" t="s">
        <v>1123</v>
      </c>
      <c r="D99" s="574" t="s">
        <v>23</v>
      </c>
      <c r="E99" s="576">
        <v>1</v>
      </c>
      <c r="F99" s="576">
        <v>310380</v>
      </c>
      <c r="G99" s="576">
        <v>310380</v>
      </c>
      <c r="I99">
        <f>G99</f>
        <v>310380</v>
      </c>
    </row>
    <row r="100" spans="3:9" ht="21" customHeight="1" thickBot="1" x14ac:dyDescent="0.3">
      <c r="C100" s="167" t="s">
        <v>1124</v>
      </c>
      <c r="D100" s="575"/>
      <c r="E100" s="577"/>
      <c r="F100" s="577"/>
      <c r="G100" s="577"/>
    </row>
    <row r="101" spans="3:9" ht="21" customHeight="1" thickBot="1" x14ac:dyDescent="0.3">
      <c r="C101" s="167" t="s">
        <v>1125</v>
      </c>
      <c r="D101" s="166" t="s">
        <v>23</v>
      </c>
      <c r="E101" s="166">
        <v>1</v>
      </c>
      <c r="F101" s="159">
        <v>325793</v>
      </c>
      <c r="G101" s="159">
        <v>325793</v>
      </c>
      <c r="I101">
        <f>F101*E101</f>
        <v>325793</v>
      </c>
    </row>
    <row r="102" spans="3:9" ht="21" customHeight="1" x14ac:dyDescent="0.25">
      <c r="C102" s="168" t="s">
        <v>1126</v>
      </c>
      <c r="D102" s="574" t="s">
        <v>23</v>
      </c>
      <c r="E102" s="574">
        <v>1</v>
      </c>
      <c r="F102" s="576">
        <v>137410</v>
      </c>
      <c r="G102" s="576">
        <v>137410</v>
      </c>
      <c r="I102">
        <f t="shared" ref="I102:I109" si="3">F102*E102</f>
        <v>137410</v>
      </c>
    </row>
    <row r="103" spans="3:9" ht="21" customHeight="1" thickBot="1" x14ac:dyDescent="0.3">
      <c r="C103" s="167" t="s">
        <v>1124</v>
      </c>
      <c r="D103" s="575"/>
      <c r="E103" s="575"/>
      <c r="F103" s="577"/>
      <c r="G103" s="577"/>
      <c r="I103">
        <f t="shared" si="3"/>
        <v>0</v>
      </c>
    </row>
    <row r="104" spans="3:9" ht="21" customHeight="1" thickBot="1" x14ac:dyDescent="0.3">
      <c r="C104" s="167" t="s">
        <v>1127</v>
      </c>
      <c r="D104" s="166" t="s">
        <v>23</v>
      </c>
      <c r="E104" s="166">
        <v>2</v>
      </c>
      <c r="F104" s="159">
        <v>58500</v>
      </c>
      <c r="G104" s="159">
        <v>117000</v>
      </c>
      <c r="I104">
        <f t="shared" si="3"/>
        <v>117000</v>
      </c>
    </row>
    <row r="105" spans="3:9" ht="21" customHeight="1" thickBot="1" x14ac:dyDescent="0.3">
      <c r="C105" s="158" t="s">
        <v>1128</v>
      </c>
      <c r="D105" s="159" t="s">
        <v>23</v>
      </c>
      <c r="E105" s="159">
        <v>1</v>
      </c>
      <c r="F105" s="159">
        <v>66443</v>
      </c>
      <c r="G105" s="159">
        <v>66443</v>
      </c>
      <c r="I105">
        <f t="shared" si="3"/>
        <v>66443</v>
      </c>
    </row>
    <row r="106" spans="3:9" ht="21" customHeight="1" thickBot="1" x14ac:dyDescent="0.3">
      <c r="C106" s="158" t="s">
        <v>1129</v>
      </c>
      <c r="D106" s="159" t="s">
        <v>23</v>
      </c>
      <c r="E106" s="159">
        <v>1</v>
      </c>
      <c r="F106" s="159">
        <v>35640</v>
      </c>
      <c r="G106" s="159">
        <v>35640</v>
      </c>
      <c r="I106">
        <f t="shared" si="3"/>
        <v>35640</v>
      </c>
    </row>
    <row r="107" spans="3:9" ht="21" customHeight="1" thickBot="1" x14ac:dyDescent="0.3">
      <c r="C107" s="158" t="s">
        <v>1130</v>
      </c>
      <c r="D107" s="159" t="s">
        <v>23</v>
      </c>
      <c r="E107" s="159">
        <v>1</v>
      </c>
      <c r="F107" s="159">
        <v>31369</v>
      </c>
      <c r="G107" s="159">
        <v>31369</v>
      </c>
      <c r="I107">
        <f t="shared" si="3"/>
        <v>31369</v>
      </c>
    </row>
    <row r="108" spans="3:9" ht="21" customHeight="1" thickBot="1" x14ac:dyDescent="0.3">
      <c r="C108" s="158" t="s">
        <v>1131</v>
      </c>
      <c r="D108" s="159" t="s">
        <v>23</v>
      </c>
      <c r="E108" s="159">
        <v>1</v>
      </c>
      <c r="F108" s="159">
        <v>18200</v>
      </c>
      <c r="G108" s="159">
        <v>18200</v>
      </c>
      <c r="I108">
        <f t="shared" si="3"/>
        <v>18200</v>
      </c>
    </row>
    <row r="109" spans="3:9" ht="21" customHeight="1" thickBot="1" x14ac:dyDescent="0.3">
      <c r="C109" s="158" t="s">
        <v>1132</v>
      </c>
      <c r="D109" s="159" t="s">
        <v>23</v>
      </c>
      <c r="E109" s="159">
        <v>2</v>
      </c>
      <c r="F109" s="159">
        <v>10000</v>
      </c>
      <c r="G109" s="159">
        <v>20000</v>
      </c>
      <c r="I109">
        <f t="shared" si="3"/>
        <v>20000</v>
      </c>
    </row>
    <row r="110" spans="3:9" ht="21" customHeight="1" thickBot="1" x14ac:dyDescent="0.3">
      <c r="C110" s="568" t="s">
        <v>1133</v>
      </c>
      <c r="D110" s="569"/>
      <c r="E110" s="569"/>
      <c r="F110" s="570"/>
      <c r="G110" s="159"/>
    </row>
    <row r="111" spans="3:9" ht="21" customHeight="1" thickBot="1" x14ac:dyDescent="0.3">
      <c r="C111" s="571" t="s">
        <v>1134</v>
      </c>
      <c r="D111" s="572"/>
      <c r="E111" s="572"/>
      <c r="F111" s="573"/>
      <c r="G111" s="171">
        <v>945235</v>
      </c>
      <c r="I111">
        <f>SUM(I99:I109)</f>
        <v>1062235</v>
      </c>
    </row>
    <row r="112" spans="3:9" ht="21" customHeight="1" thickBot="1" x14ac:dyDescent="0.3">
      <c r="C112" s="571" t="s">
        <v>1135</v>
      </c>
      <c r="D112" s="572"/>
      <c r="E112" s="572"/>
      <c r="F112" s="573"/>
      <c r="G112" s="170" t="s">
        <v>1136</v>
      </c>
      <c r="I112">
        <f>I111+I96+I67+I41</f>
        <v>23371597</v>
      </c>
    </row>
  </sheetData>
  <mergeCells count="29">
    <mergeCell ref="C43:G43"/>
    <mergeCell ref="C5:G5"/>
    <mergeCell ref="C6:G6"/>
    <mergeCell ref="C40:F40"/>
    <mergeCell ref="C41:F41"/>
    <mergeCell ref="C42:G42"/>
    <mergeCell ref="C98:G98"/>
    <mergeCell ref="D50:D51"/>
    <mergeCell ref="E50:E51"/>
    <mergeCell ref="F50:F51"/>
    <mergeCell ref="G50:G51"/>
    <mergeCell ref="C66:F66"/>
    <mergeCell ref="C67:F67"/>
    <mergeCell ref="C68:G68"/>
    <mergeCell ref="C69:G69"/>
    <mergeCell ref="C95:F95"/>
    <mergeCell ref="C96:F96"/>
    <mergeCell ref="C97:G97"/>
    <mergeCell ref="G99:G100"/>
    <mergeCell ref="D102:D103"/>
    <mergeCell ref="E102:E103"/>
    <mergeCell ref="F102:F103"/>
    <mergeCell ref="G102:G103"/>
    <mergeCell ref="C110:F110"/>
    <mergeCell ref="C111:F111"/>
    <mergeCell ref="C112:F112"/>
    <mergeCell ref="D99:D100"/>
    <mergeCell ref="E99:E100"/>
    <mergeCell ref="F99:F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Форма ОЗП 2021-2022</vt:lpstr>
      <vt:lpstr>Лоты </vt:lpstr>
      <vt:lpstr>План ОЗП 2023-2024</vt:lpstr>
      <vt:lpstr>Подряд</vt:lpstr>
      <vt:lpstr>Поставка</vt:lpstr>
      <vt:lpstr>Лист1</vt:lpstr>
      <vt:lpstr>Лист2</vt:lpstr>
      <vt:lpstr>'План ОЗП 2023-2024'!Заголовки_для_печати</vt:lpstr>
      <vt:lpstr>'План ОЗП 2023-2024'!Область_печати</vt:lpstr>
      <vt:lpstr>'Форма ОЗП 2021-2022'!Область_печати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2026-05-18T09:18:08Z</dcterms:modified>
</cp:coreProperties>
</file>