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korneichuk\Desktop\Медосмотр Пыть-Ях\"/>
    </mc:Choice>
  </mc:AlternateContent>
  <xr:revisionPtr revIDLastSave="0" documentId="13_ncr:1_{6397E0C5-7BD9-482B-9424-E4D0E0FE88B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Выбор расчета" sheetId="6" r:id="rId1"/>
    <sheet name="Расчет 1 - НМЦед" sheetId="10" r:id="rId2"/>
    <sheet name="Расчет 2 - НМЦД" sheetId="5" state="hidden" r:id="rId3"/>
    <sheet name="Расчет 3 - ЦЕПед" sheetId="12" state="hidden" r:id="rId4"/>
    <sheet name="Расчет 4 - ЦДЕП" sheetId="11" state="hidden" r:id="rId5"/>
  </sheets>
  <definedNames>
    <definedName name="_xlnm._FilterDatabase" localSheetId="0" hidden="1">'Выбор расчета'!$C$4:$F$10</definedName>
    <definedName name="_xlnm._FilterDatabase" localSheetId="1" hidden="1">'Расчет 1 - НМЦед'!$B$3:$F$22</definedName>
    <definedName name="_xlnm._FilterDatabase" localSheetId="2" hidden="1">'Расчет 2 - НМЦД'!$B$3:$F$10</definedName>
    <definedName name="_xlnm._FilterDatabase" localSheetId="3" hidden="1">'Расчет 3 - ЦЕПед'!$B$3:$F$10</definedName>
    <definedName name="_xlnm._FilterDatabase" localSheetId="4" hidden="1">'Расчет 4 - ЦДЕП'!$B$3:$F$10</definedName>
    <definedName name="_xlnm.Print_Area" localSheetId="0">'Выбор расчета'!$A$1:$AD$33</definedName>
    <definedName name="_xlnm.Print_Area" localSheetId="1">'Расчет 1 - НМЦед'!$A$1:$Q$42</definedName>
    <definedName name="_xlnm.Print_Area" localSheetId="2">'Расчет 2 - НМЦД'!$A$1:$S$17</definedName>
    <definedName name="_xlnm.Print_Area" localSheetId="3">'Расчет 3 - ЦЕПед'!$A$1:$O$38</definedName>
    <definedName name="_xlnm.Print_Area" localSheetId="4">'Расчет 4 - ЦДЕП'!$A$1:$S$17</definedName>
  </definedNames>
  <calcPr calcId="191029"/>
</workbook>
</file>

<file path=xl/calcChain.xml><?xml version="1.0" encoding="utf-8"?>
<calcChain xmlns="http://schemas.openxmlformats.org/spreadsheetml/2006/main">
  <c r="M32" i="10" l="1"/>
  <c r="L32" i="10"/>
  <c r="P32" i="10" s="1"/>
  <c r="M31" i="10"/>
  <c r="L31" i="10"/>
  <c r="P31" i="10" s="1"/>
  <c r="N32" i="10" l="1"/>
  <c r="N31" i="10"/>
  <c r="K5" i="10"/>
  <c r="I5" i="10"/>
  <c r="M20" i="10"/>
  <c r="L20" i="10"/>
  <c r="P20" i="10" s="1"/>
  <c r="L13" i="10"/>
  <c r="P13" i="10" s="1"/>
  <c r="M13" i="10"/>
  <c r="H5" i="10"/>
  <c r="J5" i="10"/>
  <c r="G5" i="10"/>
  <c r="M36" i="10"/>
  <c r="L36" i="10"/>
  <c r="P36" i="10" s="1"/>
  <c r="M35" i="10"/>
  <c r="L35" i="10"/>
  <c r="P35" i="10" s="1"/>
  <c r="O32" i="10" l="1"/>
  <c r="O31" i="10"/>
  <c r="O20" i="10"/>
  <c r="N20" i="10"/>
  <c r="N13" i="10"/>
  <c r="O13" i="10"/>
  <c r="N35" i="10"/>
  <c r="N36" i="10"/>
  <c r="I26" i="12" l="1"/>
  <c r="I15" i="12"/>
  <c r="H15" i="12"/>
  <c r="K32" i="12"/>
  <c r="L32" i="12" s="1"/>
  <c r="J32" i="12"/>
  <c r="K31" i="12"/>
  <c r="J31" i="12"/>
  <c r="K30" i="12"/>
  <c r="L30" i="12" s="1"/>
  <c r="J30" i="12"/>
  <c r="K29" i="12"/>
  <c r="J29" i="12"/>
  <c r="K28" i="12"/>
  <c r="J28" i="12"/>
  <c r="M8" i="10"/>
  <c r="L8" i="10"/>
  <c r="P8" i="10" s="1"/>
  <c r="L17" i="10"/>
  <c r="P17" i="10" s="1"/>
  <c r="M17" i="10"/>
  <c r="M11" i="10"/>
  <c r="L11" i="10"/>
  <c r="P11" i="10" s="1"/>
  <c r="N8" i="10" l="1"/>
  <c r="L31" i="12"/>
  <c r="L28" i="12"/>
  <c r="L29" i="12"/>
  <c r="N17" i="10"/>
  <c r="N11" i="10"/>
  <c r="M30" i="10" l="1"/>
  <c r="L30" i="10"/>
  <c r="P30" i="10" s="1"/>
  <c r="M29" i="10"/>
  <c r="L29" i="10"/>
  <c r="P29" i="10" s="1"/>
  <c r="M9" i="10"/>
  <c r="L9" i="10"/>
  <c r="P9" i="10" s="1"/>
  <c r="M28" i="10"/>
  <c r="L28" i="10"/>
  <c r="P28" i="10" s="1"/>
  <c r="M27" i="10"/>
  <c r="L27" i="10"/>
  <c r="P27" i="10" s="1"/>
  <c r="M26" i="10"/>
  <c r="L26" i="10"/>
  <c r="P26" i="10" s="1"/>
  <c r="M25" i="10"/>
  <c r="L25" i="10"/>
  <c r="P25" i="10" s="1"/>
  <c r="M34" i="10"/>
  <c r="L34" i="10"/>
  <c r="P34" i="10" s="1"/>
  <c r="M33" i="10"/>
  <c r="L33" i="10"/>
  <c r="P33" i="10" s="1"/>
  <c r="M24" i="10"/>
  <c r="L24" i="10"/>
  <c r="P24" i="10" s="1"/>
  <c r="M23" i="10"/>
  <c r="L23" i="10"/>
  <c r="P23" i="10" s="1"/>
  <c r="M10" i="10"/>
  <c r="L10" i="10"/>
  <c r="P10" i="10" s="1"/>
  <c r="M22" i="10"/>
  <c r="L22" i="10"/>
  <c r="P22" i="10" s="1"/>
  <c r="M21" i="10"/>
  <c r="L21" i="10"/>
  <c r="P21" i="10" s="1"/>
  <c r="M19" i="10"/>
  <c r="L19" i="10"/>
  <c r="P19" i="10" s="1"/>
  <c r="M14" i="10"/>
  <c r="L14" i="10"/>
  <c r="P14" i="10" s="1"/>
  <c r="M7" i="10"/>
  <c r="L7" i="10"/>
  <c r="P7" i="10" s="1"/>
  <c r="M15" i="10"/>
  <c r="L15" i="10"/>
  <c r="I5" i="12"/>
  <c r="J13" i="12"/>
  <c r="J23" i="12"/>
  <c r="J14" i="12"/>
  <c r="K14" i="12"/>
  <c r="J15" i="12"/>
  <c r="K15" i="12"/>
  <c r="J16" i="12"/>
  <c r="K16" i="12"/>
  <c r="J17" i="12"/>
  <c r="K17" i="12"/>
  <c r="J18" i="12"/>
  <c r="K18" i="12"/>
  <c r="J19" i="12"/>
  <c r="K19" i="12"/>
  <c r="J20" i="12"/>
  <c r="K20" i="12"/>
  <c r="J21" i="12"/>
  <c r="K21" i="12"/>
  <c r="J22" i="12"/>
  <c r="K22" i="12"/>
  <c r="J24" i="12"/>
  <c r="K24" i="12"/>
  <c r="J25" i="12"/>
  <c r="K25" i="12"/>
  <c r="J26" i="12"/>
  <c r="K26" i="12"/>
  <c r="J27" i="12"/>
  <c r="K27" i="12"/>
  <c r="K13" i="12"/>
  <c r="G5" i="12"/>
  <c r="K12" i="12"/>
  <c r="J12" i="12"/>
  <c r="K11" i="12"/>
  <c r="J11" i="12"/>
  <c r="K10" i="12"/>
  <c r="J10" i="12"/>
  <c r="K9" i="12"/>
  <c r="J9" i="12"/>
  <c r="K8" i="12"/>
  <c r="J8" i="12"/>
  <c r="K7" i="12"/>
  <c r="J7" i="12"/>
  <c r="B7" i="12"/>
  <c r="B8" i="12" s="1"/>
  <c r="B9" i="12" s="1"/>
  <c r="K6" i="12"/>
  <c r="J6" i="12"/>
  <c r="R7" i="11"/>
  <c r="R8" i="11"/>
  <c r="R9" i="11"/>
  <c r="R10" i="11"/>
  <c r="R11" i="11"/>
  <c r="R12" i="11"/>
  <c r="R13" i="11"/>
  <c r="R6" i="11"/>
  <c r="O36" i="10" l="1"/>
  <c r="O35" i="10"/>
  <c r="L18" i="12"/>
  <c r="O8" i="10"/>
  <c r="O11" i="10"/>
  <c r="O17" i="10"/>
  <c r="N30" i="10"/>
  <c r="N9" i="10"/>
  <c r="N27" i="10"/>
  <c r="N29" i="10"/>
  <c r="N33" i="10"/>
  <c r="N28" i="10"/>
  <c r="N10" i="10"/>
  <c r="N34" i="10"/>
  <c r="N25" i="10"/>
  <c r="N26" i="10"/>
  <c r="N21" i="10"/>
  <c r="N24" i="10"/>
  <c r="N22" i="10"/>
  <c r="N15" i="10"/>
  <c r="N23" i="10"/>
  <c r="N19" i="10"/>
  <c r="P15" i="10"/>
  <c r="N14" i="10"/>
  <c r="N7" i="10"/>
  <c r="L22" i="12"/>
  <c r="L14" i="12"/>
  <c r="H5" i="12"/>
  <c r="K23" i="12"/>
  <c r="L23" i="12" s="1"/>
  <c r="L24" i="12"/>
  <c r="L27" i="12"/>
  <c r="L25" i="12"/>
  <c r="L21" i="12"/>
  <c r="L13" i="12"/>
  <c r="L17" i="12"/>
  <c r="L20" i="12"/>
  <c r="L26" i="12"/>
  <c r="L19" i="12"/>
  <c r="L15" i="12"/>
  <c r="L16" i="12"/>
  <c r="L11" i="12"/>
  <c r="L7" i="12"/>
  <c r="L6" i="12"/>
  <c r="L9" i="12"/>
  <c r="L12" i="12"/>
  <c r="L10" i="12"/>
  <c r="L8" i="12"/>
  <c r="O13" i="11"/>
  <c r="P13" i="11" s="1"/>
  <c r="N13" i="11"/>
  <c r="P12" i="11"/>
  <c r="O12" i="11"/>
  <c r="N12" i="11"/>
  <c r="O11" i="11"/>
  <c r="P11" i="11" s="1"/>
  <c r="N11" i="11"/>
  <c r="O10" i="11"/>
  <c r="N10" i="11"/>
  <c r="O9" i="11"/>
  <c r="P9" i="11" s="1"/>
  <c r="N9" i="11"/>
  <c r="O8" i="11"/>
  <c r="P8" i="11" s="1"/>
  <c r="N8" i="11"/>
  <c r="B8" i="11"/>
  <c r="B9" i="11" s="1"/>
  <c r="O7" i="11"/>
  <c r="P7" i="11" s="1"/>
  <c r="N7" i="11"/>
  <c r="B7" i="11"/>
  <c r="O6" i="11"/>
  <c r="P6" i="11" s="1"/>
  <c r="N6" i="11"/>
  <c r="M5" i="11"/>
  <c r="L5" i="11"/>
  <c r="K5" i="11"/>
  <c r="J5" i="11"/>
  <c r="I5" i="11"/>
  <c r="Q6" i="11" s="1"/>
  <c r="H5" i="11"/>
  <c r="G5" i="11"/>
  <c r="Q12" i="11" s="1"/>
  <c r="M12" i="10"/>
  <c r="L12" i="10"/>
  <c r="M18" i="10"/>
  <c r="L18" i="10"/>
  <c r="M16" i="10"/>
  <c r="L16" i="10"/>
  <c r="P16" i="10" s="1"/>
  <c r="Q7" i="5"/>
  <c r="Q8" i="5"/>
  <c r="Q9" i="5"/>
  <c r="Q10" i="5"/>
  <c r="Q11" i="5"/>
  <c r="Q12" i="5"/>
  <c r="Q13" i="5"/>
  <c r="Q6" i="5"/>
  <c r="H5" i="5"/>
  <c r="I5" i="5"/>
  <c r="J5" i="5"/>
  <c r="K5" i="5"/>
  <c r="L5" i="5"/>
  <c r="M5" i="5"/>
  <c r="G5" i="5"/>
  <c r="O13" i="5"/>
  <c r="N13" i="5"/>
  <c r="R13" i="5" s="1"/>
  <c r="O12" i="5"/>
  <c r="N12" i="5"/>
  <c r="R12" i="5" s="1"/>
  <c r="O26" i="10" l="1"/>
  <c r="O30" i="10"/>
  <c r="O27" i="10"/>
  <c r="O28" i="10"/>
  <c r="O9" i="10"/>
  <c r="O25" i="10"/>
  <c r="O29" i="10"/>
  <c r="O24" i="10"/>
  <c r="O33" i="10"/>
  <c r="O34" i="10"/>
  <c r="O23" i="10"/>
  <c r="O19" i="10"/>
  <c r="O10" i="10"/>
  <c r="O21" i="10"/>
  <c r="O22" i="10"/>
  <c r="O15" i="10"/>
  <c r="O14" i="10"/>
  <c r="O7" i="10"/>
  <c r="Q7" i="11"/>
  <c r="Q9" i="11"/>
  <c r="P10" i="11"/>
  <c r="Q13" i="11"/>
  <c r="Q10" i="11"/>
  <c r="Q11" i="11"/>
  <c r="Q8" i="11"/>
  <c r="Q14" i="11" s="1"/>
  <c r="O16" i="10"/>
  <c r="N18" i="10"/>
  <c r="O18" i="10"/>
  <c r="P18" i="10"/>
  <c r="N12" i="10"/>
  <c r="O12" i="10"/>
  <c r="P12" i="10"/>
  <c r="N16" i="10"/>
  <c r="P12" i="5"/>
  <c r="P13" i="5"/>
  <c r="P37" i="10" l="1"/>
  <c r="O37" i="10"/>
  <c r="N6" i="5"/>
  <c r="N7" i="5"/>
  <c r="N8" i="5"/>
  <c r="N9" i="5"/>
  <c r="N10" i="5"/>
  <c r="N11" i="5"/>
  <c r="O7" i="5"/>
  <c r="O8" i="5"/>
  <c r="O9" i="5"/>
  <c r="O10" i="5"/>
  <c r="O11" i="5"/>
  <c r="O6" i="5"/>
  <c r="P6" i="5" l="1"/>
  <c r="Q14" i="5" l="1"/>
  <c r="R7" i="5"/>
  <c r="R8" i="5"/>
  <c r="R9" i="5"/>
  <c r="R10" i="5"/>
  <c r="R11" i="5"/>
  <c r="B7" i="5"/>
  <c r="B8" i="5" s="1"/>
  <c r="B9" i="5" s="1"/>
  <c r="P7" i="5" l="1"/>
  <c r="P10" i="5"/>
  <c r="P9" i="5"/>
  <c r="P8" i="5"/>
  <c r="P11" i="5"/>
  <c r="R6" i="5"/>
  <c r="R14" i="5" s="1"/>
  <c r="M32" i="12" l="1"/>
  <c r="N32" i="12" s="1"/>
  <c r="M31" i="12"/>
  <c r="N31" i="12" s="1"/>
  <c r="M29" i="12"/>
  <c r="N29" i="12" s="1"/>
  <c r="M30" i="12"/>
  <c r="N30" i="12" s="1"/>
  <c r="M28" i="12"/>
  <c r="N28" i="12" s="1"/>
  <c r="M17" i="12"/>
  <c r="N17" i="12" s="1"/>
  <c r="M21" i="12"/>
  <c r="N21" i="12" s="1"/>
  <c r="M24" i="12"/>
  <c r="N24" i="12" s="1"/>
  <c r="M25" i="12"/>
  <c r="N25" i="12" s="1"/>
  <c r="M20" i="12"/>
  <c r="N20" i="12" s="1"/>
  <c r="M19" i="12"/>
  <c r="N19" i="12" s="1"/>
  <c r="M18" i="12"/>
  <c r="N18" i="12" s="1"/>
  <c r="M26" i="12"/>
  <c r="N26" i="12" s="1"/>
  <c r="M27" i="12"/>
  <c r="N27" i="12" s="1"/>
  <c r="M14" i="12"/>
  <c r="N14" i="12" s="1"/>
  <c r="M16" i="12"/>
  <c r="N16" i="12" s="1"/>
  <c r="M15" i="12"/>
  <c r="N15" i="12" s="1"/>
  <c r="M23" i="12"/>
  <c r="N23" i="12" s="1"/>
  <c r="M22" i="12"/>
  <c r="N22" i="12" s="1"/>
  <c r="M8" i="12"/>
  <c r="N8" i="12" s="1"/>
  <c r="M13" i="12"/>
  <c r="N13" i="12" s="1"/>
  <c r="M10" i="12"/>
  <c r="N10" i="12" s="1"/>
  <c r="M11" i="12"/>
  <c r="N11" i="12" s="1"/>
  <c r="M7" i="12"/>
  <c r="N7" i="12" s="1"/>
  <c r="M6" i="12"/>
  <c r="M12" i="12"/>
  <c r="N12" i="12" s="1"/>
  <c r="M9" i="12"/>
  <c r="N9" i="12" s="1"/>
  <c r="N6" i="12" l="1"/>
  <c r="M33" i="12"/>
</calcChain>
</file>

<file path=xl/sharedStrings.xml><?xml version="1.0" encoding="utf-8"?>
<sst xmlns="http://schemas.openxmlformats.org/spreadsheetml/2006/main" count="359" uniqueCount="129">
  <si>
    <t xml:space="preserve">Кол-во </t>
  </si>
  <si>
    <t>усл.ед.</t>
  </si>
  <si>
    <t>шт</t>
  </si>
  <si>
    <t>№ п/п</t>
  </si>
  <si>
    <t>НМЦД</t>
  </si>
  <si>
    <t>Монтажный комплект</t>
  </si>
  <si>
    <t>Доставка</t>
  </si>
  <si>
    <t>Монтаж, пуско-наладка</t>
  </si>
  <si>
    <t>Сплит-система инверторного типа 2,8кВт / 4,0кВт</t>
  </si>
  <si>
    <t>Товар, работа, услуга ______</t>
  </si>
  <si>
    <t>…</t>
  </si>
  <si>
    <t>Наименование</t>
  </si>
  <si>
    <t>Товар, работа, услуга - ТРУ</t>
  </si>
  <si>
    <t>-</t>
  </si>
  <si>
    <t>НМЦсумма</t>
  </si>
  <si>
    <t>Расчет (обоснование) 
начальной (максимальной) цены единицы товара, работы, услуги - НМЦед, 
их суммы - НМЦсумма, максимального значения цены договора - ЦДмакс</t>
  </si>
  <si>
    <t>ЦЕПсумма</t>
  </si>
  <si>
    <t>ОКПД 2</t>
  </si>
  <si>
    <t>28.25.12.130</t>
  </si>
  <si>
    <t>28.25.30.110</t>
  </si>
  <si>
    <t>43.22.12.150</t>
  </si>
  <si>
    <t>49.41.19.900</t>
  </si>
  <si>
    <t>Однородность значений цен, используемых в расчёте</t>
  </si>
  <si>
    <t>Итог расчёта</t>
  </si>
  <si>
    <t>Расчёт (обоснование) 
начальной (максимальной) цены единицы товара, работы, услуги - НМЦед, 
начальной (максимальной) цены договора - НМЦД</t>
  </si>
  <si>
    <t>Ед. изм.</t>
  </si>
  <si>
    <t>Среднее
квадратичное
отклонение</t>
  </si>
  <si>
    <t>Среднее
арифметическое
значение</t>
  </si>
  <si>
    <t>Расчет (обоснование) 
цены единственного поставщика за единицу товара, работы, услуги - ЦЕПед, 
их суммы - ЦЕПсумма, максимального значения цены договора с единственным поставщиком - ЦДмакс</t>
  </si>
  <si>
    <r>
      <t xml:space="preserve">Источники ценовой информации - ИЦИ </t>
    </r>
    <r>
      <rPr>
        <i/>
        <sz val="12"/>
        <color indexed="10"/>
        <rFont val="Times New Roman"/>
        <family val="1"/>
        <charset val="204"/>
      </rPr>
      <t xml:space="preserve">(должно быть </t>
    </r>
    <r>
      <rPr>
        <sz val="12"/>
        <color indexed="10"/>
        <rFont val="Times New Roman"/>
        <family val="1"/>
        <charset val="204"/>
      </rPr>
      <t>≥</t>
    </r>
    <r>
      <rPr>
        <i/>
        <sz val="12"/>
        <color indexed="10"/>
        <rFont val="Times New Roman"/>
        <family val="1"/>
        <charset val="204"/>
      </rPr>
      <t xml:space="preserve"> 3 штук)</t>
    </r>
  </si>
  <si>
    <r>
      <t xml:space="preserve">Коэффициент
вариации
</t>
    </r>
    <r>
      <rPr>
        <i/>
        <sz val="12"/>
        <color indexed="10"/>
        <rFont val="Times New Roman"/>
        <family val="1"/>
        <charset val="204"/>
      </rPr>
      <t xml:space="preserve">(должен быть 
</t>
    </r>
    <r>
      <rPr>
        <sz val="12"/>
        <color indexed="10"/>
        <rFont val="Times New Roman"/>
        <family val="1"/>
        <charset val="204"/>
      </rPr>
      <t>≤</t>
    </r>
    <r>
      <rPr>
        <i/>
        <sz val="12"/>
        <color indexed="10"/>
        <rFont val="Times New Roman"/>
        <family val="1"/>
        <charset val="204"/>
      </rPr>
      <t xml:space="preserve"> 35%)</t>
    </r>
  </si>
  <si>
    <r>
      <rPr>
        <b/>
        <sz val="12"/>
        <rFont val="Times New Roman"/>
        <family val="1"/>
        <charset val="204"/>
      </rPr>
      <t xml:space="preserve">НМЦед </t>
    </r>
    <r>
      <rPr>
        <sz val="12"/>
        <rFont val="Times New Roman"/>
        <family val="1"/>
        <charset val="204"/>
      </rPr>
      <t xml:space="preserve">
с учётом количества
</t>
    </r>
    <r>
      <rPr>
        <i/>
        <sz val="12"/>
        <color rgb="FFFF0000"/>
        <rFont val="Times New Roman"/>
        <family val="1"/>
        <charset val="204"/>
      </rPr>
      <t>(вариант 1 - расчет по минимальному ИЦИ)</t>
    </r>
  </si>
  <si>
    <r>
      <rPr>
        <b/>
        <sz val="12"/>
        <rFont val="Times New Roman"/>
        <family val="1"/>
        <charset val="204"/>
      </rPr>
      <t xml:space="preserve">НМЦед </t>
    </r>
    <r>
      <rPr>
        <sz val="12"/>
        <rFont val="Times New Roman"/>
        <family val="1"/>
        <charset val="204"/>
      </rPr>
      <t xml:space="preserve">
с учётом количества
</t>
    </r>
    <r>
      <rPr>
        <i/>
        <sz val="12"/>
        <color rgb="FFFF0000"/>
        <rFont val="Times New Roman"/>
        <family val="1"/>
        <charset val="204"/>
      </rPr>
      <t>(вариант 2 - расчет по среднему арифметическому ИЦИ)</t>
    </r>
  </si>
  <si>
    <r>
      <rPr>
        <b/>
        <sz val="12"/>
        <rFont val="Times New Roman"/>
        <family val="1"/>
        <charset val="204"/>
      </rPr>
      <t xml:space="preserve">ЦЕПед </t>
    </r>
    <r>
      <rPr>
        <sz val="12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>(расчет по минимальному ИЦИ)</t>
    </r>
  </si>
  <si>
    <r>
      <rPr>
        <b/>
        <sz val="12"/>
        <rFont val="Times New Roman"/>
        <family val="1"/>
        <charset val="204"/>
      </rPr>
      <t xml:space="preserve">ЦЕПед </t>
    </r>
    <r>
      <rPr>
        <sz val="12"/>
        <rFont val="Times New Roman"/>
        <family val="1"/>
        <charset val="204"/>
      </rPr>
      <t xml:space="preserve">
с учётом количества
</t>
    </r>
    <r>
      <rPr>
        <i/>
        <sz val="12"/>
        <color rgb="FFFF0000"/>
        <rFont val="Times New Roman"/>
        <family val="1"/>
        <charset val="204"/>
      </rPr>
      <t>(расчет по минимальному ИЦИ)</t>
    </r>
  </si>
  <si>
    <t>Начальная (максимальная) цена договора (НМЦД) составляет __________________</t>
  </si>
  <si>
    <t>невозможно определить</t>
  </si>
  <si>
    <t>Расчет (обоснование) 
цены единственного поставщика за единицу товара, работы, услуги - ЦЕПед, 
цены договора с единственным поставщиком ЦДЕП</t>
  </si>
  <si>
    <t>ЦДЕП</t>
  </si>
  <si>
    <t>Цена договора с единственным поставщиком (ЦДЕП) составляет __________________</t>
  </si>
  <si>
    <t>№ 1
от ____</t>
  </si>
  <si>
    <t>№ 2
от ____</t>
  </si>
  <si>
    <t>№ 3
от ____</t>
  </si>
  <si>
    <t>№ 4
от ____</t>
  </si>
  <si>
    <t>№ 5
от ____</t>
  </si>
  <si>
    <t>№ 6
от ____</t>
  </si>
  <si>
    <t>№ 7
от ____</t>
  </si>
  <si>
    <t>86.21.10.120</t>
  </si>
  <si>
    <t>Анализ крови клинический (гемоглобин, цветной показатель, эритроциты, лейкоциты, лейкоцитарная формула, СОЭ)</t>
  </si>
  <si>
    <t>Анализ мочи клинический (удельный вес, белок, сахар, микроскопия осадка)</t>
  </si>
  <si>
    <t>Глюкоза</t>
  </si>
  <si>
    <t>Холестерин</t>
  </si>
  <si>
    <t>Офтальмолог (биомикроскопия глаза, визометрия, Рефрактометрия (или скиаскопия)</t>
  </si>
  <si>
    <t>Глазная тонометрия (для всех старше 40 лет)</t>
  </si>
  <si>
    <t>Цитология</t>
  </si>
  <si>
    <t>Маммография для женщин после 40 лет</t>
  </si>
  <si>
    <t>Паллестезиметрия</t>
  </si>
  <si>
    <t>Исследование функции вестибулярного аппарата</t>
  </si>
  <si>
    <t>Тональная пороговая аудиометрия</t>
  </si>
  <si>
    <t>Флюорография</t>
  </si>
  <si>
    <t xml:space="preserve">Психиатрическое медосвидетельствование </t>
  </si>
  <si>
    <t>Профилактический прием (осмотр, консультация) врача-профпатолога</t>
  </si>
  <si>
    <t>Профилактический прием (осмотр, консультация) врача-невролога</t>
  </si>
  <si>
    <t>Профилактический прием (осмотр) врача оториноларинголога</t>
  </si>
  <si>
    <t>Профилактический прием (осмотр, консультация) врача-хирурга</t>
  </si>
  <si>
    <t>Профилактический прием (осмотр, консультация) врача психиатра-нарколога</t>
  </si>
  <si>
    <t>Профилактический прием (осмотр, консультация) врача психиатра</t>
  </si>
  <si>
    <t>Профилактический прием (осмотр) врача врача-дерматовенеролога</t>
  </si>
  <si>
    <t>Профилактический прием (осмотр, консультация) врача-терапевта</t>
  </si>
  <si>
    <t>Профилактический прием (осмотр, консультация) врача-акушера-гинеколога</t>
  </si>
  <si>
    <t>Регистрация электрокардиограммы</t>
  </si>
  <si>
    <t>Взятие крови из периферической вены</t>
  </si>
  <si>
    <t>Ультразвуковое исследование органов малого таза</t>
  </si>
  <si>
    <t>Электроэнцефалография</t>
  </si>
  <si>
    <t>Исследование цветоощущения по полихроматическим таблицам</t>
  </si>
  <si>
    <t>Максимальное значение цены договора  (Цдмакс) ограничено лимитом финансирования (бизнес-планом) и составляет 1 012 000 (один миллион двенадцать тысяч) рублей 00 копеек</t>
  </si>
  <si>
    <t>Оказание услуг по проведению предварительных и периодических медицинских осмотров работников ООО «Ситиматик-Югра», включает в себя сл. сумму единиц:</t>
  </si>
  <si>
    <t>услуга</t>
  </si>
  <si>
    <t> 1.1</t>
  </si>
  <si>
    <t> 1.2</t>
  </si>
  <si>
    <t> 1.3</t>
  </si>
  <si>
    <t> 1.4</t>
  </si>
  <si>
    <t> 1.5</t>
  </si>
  <si>
    <t> 1.6</t>
  </si>
  <si>
    <t> 1.7</t>
  </si>
  <si>
    <t> 1.8</t>
  </si>
  <si>
    <t> 1.9</t>
  </si>
  <si>
    <t> 1.10</t>
  </si>
  <si>
    <t>п. 4.2.5 (мужчины младше 40)</t>
  </si>
  <si>
    <t>п. 4.2.5 (женщины младше 40)</t>
  </si>
  <si>
    <t>п. 4.2.5 (мужчины старше 40)</t>
  </si>
  <si>
    <t>п. 4.2.5 (женщины старше 40)</t>
  </si>
  <si>
    <t>п. 5.1 (мужчины младше 40)</t>
  </si>
  <si>
    <t>п. 4.4, п. 5.1 (мужчины младше 40)</t>
  </si>
  <si>
    <t>п. 5.1, п. 9 (мужчины младше 40)</t>
  </si>
  <si>
    <t>п. 4.3.2, п. 18.1 (мужчины младше 40)</t>
  </si>
  <si>
    <t>п. 4.3.2, п. 18.2 (мужчины младше 40)</t>
  </si>
  <si>
    <t>п. 4.3.2, п. 4.4, п. 18.2 (мужчины младше 40)</t>
  </si>
  <si>
    <t>п. 4.3.1 (мужчины младше 40)</t>
  </si>
  <si>
    <t>п. 17, п. 5.1 (мужчины младше 40)</t>
  </si>
  <si>
    <t>п. 5.1 (мужчины старше 40)</t>
  </si>
  <si>
    <t>п. 4.4, п. 5.1 (мужчины старше 40)</t>
  </si>
  <si>
    <t>п. 4.3.2, п. 18.1 (мужчины старше 40)</t>
  </si>
  <si>
    <t>п. 5.1 (женщины младше 40)</t>
  </si>
  <si>
    <t>п. 5.1 (женщины старше 40)</t>
  </si>
  <si>
    <t>п. 17, п. 5.1 (мужчины старше 40)</t>
  </si>
  <si>
    <t>п. 4.3.1 (мужчины старше 40)</t>
  </si>
  <si>
    <t>п. 4.3.2, п. 4.4, п. 18.2 (мужчины старше 40)</t>
  </si>
  <si>
    <t>п. 4.3.2, п. 18.2 (мужчины старше 40)</t>
  </si>
  <si>
    <t>п. 5.1, п. 9 (женщины старше 40)</t>
  </si>
  <si>
    <t>п. 4.4, п. 5.1 (женщины старше 40)</t>
  </si>
  <si>
    <t>п. 4.4, п. 5.1 (женщины младше 40)</t>
  </si>
  <si>
    <t>п. 5.1, п. 9 (женщины младше 40)</t>
  </si>
  <si>
    <t> 1.11</t>
  </si>
  <si>
    <t xml:space="preserve">Флюорографическое обследование 1 раз в год </t>
  </si>
  <si>
    <t> 1.12</t>
  </si>
  <si>
    <t>п. 4.3.1, п. 4.3.2, п. 4.4, п. 18.2 (мужчины младше 40)</t>
  </si>
  <si>
    <t>п. 4.3.1, п. 4.3.2, п. 4.4, п. 18.2 (мужчины старше 40)</t>
  </si>
  <si>
    <t>п. 5.1, п. 9 (мужчины старше 40)</t>
  </si>
  <si>
    <t>Максимальное значение цены договора  (Цдмакс) ограничено лимитом финансирования (бизнес-планом) и составляет 506 000 (пятьсот шесть тысяч) рублей 00 копеек</t>
  </si>
  <si>
    <t xml:space="preserve">Источники ценовой информации - ИЦИ </t>
  </si>
  <si>
    <t xml:space="preserve">№ 1
</t>
  </si>
  <si>
    <t xml:space="preserve">№ 2
</t>
  </si>
  <si>
    <t xml:space="preserve">№ 3
</t>
  </si>
  <si>
    <t xml:space="preserve">№ 4
</t>
  </si>
  <si>
    <t xml:space="preserve">№ 5
</t>
  </si>
  <si>
    <t xml:space="preserve">Коэффициент
вариации
</t>
  </si>
  <si>
    <t xml:space="preserve">НМЦед 
</t>
  </si>
  <si>
    <r>
      <rPr>
        <b/>
        <sz val="12"/>
        <rFont val="Times New Roman"/>
        <family val="1"/>
        <charset val="204"/>
      </rPr>
      <t xml:space="preserve">НМЦед </t>
    </r>
    <r>
      <rPr>
        <sz val="12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</si>
</sst>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#,##0.00\ &quot;₽&quot;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9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Arial Narrow"/>
      <family val="2"/>
      <charset val="204"/>
    </font>
    <font>
      <b/>
      <sz val="12"/>
      <color rgb="FF0070C0"/>
      <name val="Arial Narrow"/>
      <family val="2"/>
      <charset val="204"/>
    </font>
    <font>
      <sz val="8"/>
      <name val="Calibri"/>
      <family val="2"/>
      <charset val="204"/>
      <scheme val="minor"/>
    </font>
    <font>
      <sz val="12"/>
      <color indexed="8"/>
      <name val="Arial Narrow"/>
      <family val="2"/>
      <charset val="204"/>
    </font>
    <font>
      <sz val="12"/>
      <color rgb="FFFF0000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6" fillId="0" borderId="0">
      <alignment horizontal="right" vertical="center"/>
    </xf>
    <xf numFmtId="0" fontId="7" fillId="0" borderId="0">
      <alignment horizontal="left" vertical="center"/>
    </xf>
    <xf numFmtId="0" fontId="7" fillId="0" borderId="0">
      <alignment horizontal="right" vertical="center"/>
    </xf>
    <xf numFmtId="0" fontId="8" fillId="0" borderId="0">
      <alignment horizontal="right" vertical="center"/>
    </xf>
    <xf numFmtId="0" fontId="9" fillId="0" borderId="0" applyNumberFormat="0" applyFill="0" applyBorder="0" applyAlignment="0" applyProtection="0"/>
    <xf numFmtId="0" fontId="5" fillId="0" borderId="0"/>
    <xf numFmtId="0" fontId="10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4" fillId="0" borderId="0" xfId="0" applyFont="1" applyAlignment="1">
      <alignment horizontal="center" vertical="top" wrapText="1"/>
    </xf>
    <xf numFmtId="4" fontId="1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14" fillId="0" borderId="0" xfId="0" applyFont="1"/>
    <xf numFmtId="0" fontId="17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164" fontId="14" fillId="0" borderId="0" xfId="0" applyNumberFormat="1" applyFont="1"/>
    <xf numFmtId="165" fontId="14" fillId="0" borderId="0" xfId="0" applyNumberFormat="1" applyFont="1" applyAlignment="1">
      <alignment vertical="center"/>
    </xf>
    <xf numFmtId="0" fontId="14" fillId="2" borderId="0" xfId="0" applyFont="1" applyFill="1"/>
    <xf numFmtId="0" fontId="4" fillId="2" borderId="0" xfId="0" applyFont="1" applyFill="1" applyAlignment="1">
      <alignment horizontal="center" vertical="top" wrapText="1"/>
    </xf>
    <xf numFmtId="4" fontId="12" fillId="2" borderId="0" xfId="0" applyNumberFormat="1" applyFont="1" applyFill="1" applyAlignment="1">
      <alignment horizontal="right" vertical="center" wrapText="1"/>
    </xf>
    <xf numFmtId="0" fontId="16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2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3" fontId="11" fillId="2" borderId="0" xfId="7" applyNumberFormat="1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right" vertical="center" wrapText="1"/>
    </xf>
    <xf numFmtId="10" fontId="3" fillId="2" borderId="0" xfId="0" applyNumberFormat="1" applyFont="1" applyFill="1" applyAlignment="1">
      <alignment horizontal="right" vertical="center" wrapText="1"/>
    </xf>
    <xf numFmtId="44" fontId="3" fillId="2" borderId="0" xfId="0" applyNumberFormat="1" applyFont="1" applyFill="1" applyAlignment="1">
      <alignment horizontal="right" vertical="center" wrapText="1"/>
    </xf>
    <xf numFmtId="0" fontId="14" fillId="2" borderId="0" xfId="0" applyFont="1" applyFill="1" applyAlignment="1">
      <alignment vertical="center"/>
    </xf>
    <xf numFmtId="165" fontId="14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2" fontId="4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lef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4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left" vertical="center" wrapText="1"/>
    </xf>
    <xf numFmtId="0" fontId="17" fillId="2" borderId="0" xfId="0" applyFont="1" applyFill="1"/>
    <xf numFmtId="0" fontId="15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164" fontId="14" fillId="2" borderId="0" xfId="0" applyNumberFormat="1" applyFont="1" applyFill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 wrapText="1"/>
    </xf>
    <xf numFmtId="4" fontId="19" fillId="0" borderId="0" xfId="0" applyNumberFormat="1" applyFont="1" applyAlignment="1">
      <alignment horizontal="right"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3" fontId="25" fillId="0" borderId="0" xfId="7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 wrapText="1"/>
    </xf>
    <xf numFmtId="164" fontId="22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left" vertical="top"/>
    </xf>
    <xf numFmtId="0" fontId="27" fillId="0" borderId="0" xfId="0" applyFont="1" applyAlignment="1">
      <alignment horizontal="left" vertical="center" wrapText="1"/>
    </xf>
    <xf numFmtId="0" fontId="28" fillId="0" borderId="0" xfId="0" applyFont="1"/>
    <xf numFmtId="3" fontId="25" fillId="0" borderId="1" xfId="7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3" fontId="25" fillId="3" borderId="1" xfId="7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vertical="center" wrapText="1"/>
    </xf>
    <xf numFmtId="2" fontId="22" fillId="4" borderId="1" xfId="0" applyNumberFormat="1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0" fontId="22" fillId="4" borderId="1" xfId="0" applyNumberFormat="1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right" vertical="center" wrapText="1"/>
    </xf>
    <xf numFmtId="2" fontId="25" fillId="4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1" fillId="4" borderId="1" xfId="0" applyFont="1" applyFill="1" applyBorder="1" applyAlignment="1">
      <alignment horizont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2" fontId="22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horizontal="left" vertical="center" wrapText="1"/>
    </xf>
  </cellXfs>
  <cellStyles count="10">
    <cellStyle name="S11" xfId="1" xr:uid="{00000000-0005-0000-0000-000000000000}"/>
    <cellStyle name="S5" xfId="2" xr:uid="{00000000-0005-0000-0000-000001000000}"/>
    <cellStyle name="S6" xfId="3" xr:uid="{00000000-0005-0000-0000-000002000000}"/>
    <cellStyle name="S9" xfId="4" xr:uid="{00000000-0005-0000-0000-000003000000}"/>
    <cellStyle name="Гиперссылка 2" xfId="5" xr:uid="{00000000-0005-0000-0000-000004000000}"/>
    <cellStyle name="Обычный" xfId="0" builtinId="0"/>
    <cellStyle name="Обычный 2" xfId="6" xr:uid="{00000000-0005-0000-0000-000006000000}"/>
    <cellStyle name="Обычный 3" xfId="7" xr:uid="{00000000-0005-0000-0000-000007000000}"/>
    <cellStyle name="Обычный 3 3" xfId="8" xr:uid="{00000000-0005-0000-0000-000008000000}"/>
    <cellStyle name="Обычный 4" xfId="9" xr:uid="{00000000-0005-0000-0000-000009000000}"/>
  </cellStyles>
  <dxfs count="0"/>
  <tableStyles count="1" defaultTableStyle="TableStyleMedium9" defaultPivotStyle="PivotStyleLight16">
    <tableStyle name="Стиль таблицы 1" pivot="0" count="0" xr9:uid="{00000000-0011-0000-FFFF-FFFF00000000}"/>
  </tableStyles>
  <colors>
    <mruColors>
      <color rgb="FF70AC2E"/>
      <color rgb="FFEB941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1056;&#1072;&#1089;&#1095;&#1077;&#1090; 3 - &#1062;&#1045;&#1055;&#1077;&#1076;'!A1"/><Relationship Id="rId2" Type="http://schemas.openxmlformats.org/officeDocument/2006/relationships/hyperlink" Target="#'&#1056;&#1072;&#1089;&#1095;&#1077;&#1090; 2 - &#1053;&#1052;&#1062;&#1044;'!A1"/><Relationship Id="rId1" Type="http://schemas.openxmlformats.org/officeDocument/2006/relationships/hyperlink" Target="#'&#1056;&#1072;&#1089;&#1095;&#1077;&#1090; 1 - &#1053;&#1052;&#1062;&#1077;&#1076;'!A1"/><Relationship Id="rId4" Type="http://schemas.openxmlformats.org/officeDocument/2006/relationships/hyperlink" Target="#'&#1056;&#1072;&#1089;&#1095;&#1077;&#1090; 4 - &#1062;&#1044;&#1045;&#1055;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1334233</xdr:colOff>
      <xdr:row>7</xdr:row>
      <xdr:rowOff>55684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335DBB-0F10-4121-89C0-8AEE7F927AA8}"/>
            </a:ext>
          </a:extLst>
        </xdr:cNvPr>
        <xdr:cNvSpPr txBox="1"/>
      </xdr:nvSpPr>
      <xdr:spPr>
        <a:xfrm>
          <a:off x="6639658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86702FA-0947-4B89-9211-53AC56EFAA55}"/>
            </a:ext>
          </a:extLst>
        </xdr:cNvPr>
        <xdr:cNvSpPr txBox="1"/>
      </xdr:nvSpPr>
      <xdr:spPr>
        <a:xfrm>
          <a:off x="6639658" y="455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14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A3C91E2-C072-4CDA-B667-5F7EF5AC91F8}"/>
            </a:ext>
          </a:extLst>
        </xdr:cNvPr>
        <xdr:cNvSpPr txBox="1"/>
      </xdr:nvSpPr>
      <xdr:spPr>
        <a:xfrm>
          <a:off x="6639658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14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A10E429-3109-4986-8A34-019D6B80DC26}"/>
            </a:ext>
          </a:extLst>
        </xdr:cNvPr>
        <xdr:cNvSpPr txBox="1"/>
      </xdr:nvSpPr>
      <xdr:spPr>
        <a:xfrm>
          <a:off x="6639658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7</xdr:row>
      <xdr:rowOff>55684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32F4BAB-8315-4BE6-B3A1-0444189353FF}"/>
            </a:ext>
          </a:extLst>
        </xdr:cNvPr>
        <xdr:cNvSpPr txBox="1"/>
      </xdr:nvSpPr>
      <xdr:spPr>
        <a:xfrm>
          <a:off x="9782908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55684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10F79BC-5BBA-4283-87E6-A36B1B38E663}"/>
            </a:ext>
          </a:extLst>
        </xdr:cNvPr>
        <xdr:cNvSpPr txBox="1"/>
      </xdr:nvSpPr>
      <xdr:spPr>
        <a:xfrm>
          <a:off x="6639658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10</xdr:row>
      <xdr:rowOff>55684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EE3974E-52B3-41B2-9E60-660AD431E9B1}"/>
            </a:ext>
          </a:extLst>
        </xdr:cNvPr>
        <xdr:cNvSpPr txBox="1"/>
      </xdr:nvSpPr>
      <xdr:spPr>
        <a:xfrm>
          <a:off x="9782908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12</xdr:col>
      <xdr:colOff>352425</xdr:colOff>
      <xdr:row>2</xdr:row>
      <xdr:rowOff>38100</xdr:rowOff>
    </xdr:from>
    <xdr:to>
      <xdr:col>17</xdr:col>
      <xdr:colOff>285750</xdr:colOff>
      <xdr:row>7</xdr:row>
      <xdr:rowOff>95249</xdr:rowOff>
    </xdr:to>
    <xdr:sp macro="" textlink="">
      <xdr:nvSpPr>
        <xdr:cNvPr id="9" name="Прямоугольник: скругленные углы 8">
          <a:extLst>
            <a:ext uri="{FF2B5EF4-FFF2-40B4-BE49-F238E27FC236}">
              <a16:creationId xmlns:a16="http://schemas.microsoft.com/office/drawing/2014/main" id="{5701C76F-A3FC-4290-9D88-B26BB5B325BA}"/>
            </a:ext>
          </a:extLst>
        </xdr:cNvPr>
        <xdr:cNvSpPr/>
      </xdr:nvSpPr>
      <xdr:spPr>
        <a:xfrm>
          <a:off x="7019925" y="237259"/>
          <a:ext cx="2964007" cy="1052945"/>
        </a:xfrm>
        <a:prstGeom prst="roundRect">
          <a:avLst/>
        </a:prstGeom>
        <a:ln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Поставщик</a:t>
          </a:r>
          <a:r>
            <a:rPr lang="ru-RU" sz="12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(подрядчик, исполнитель)</a:t>
          </a:r>
        </a:p>
        <a:p>
          <a:pPr algn="ctr"/>
          <a:r>
            <a:rPr lang="ru-RU" sz="12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известен заранее?</a:t>
          </a:r>
          <a:endParaRPr lang="ru-RU" sz="12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209550</xdr:colOff>
      <xdr:row>4</xdr:row>
      <xdr:rowOff>138546</xdr:rowOff>
    </xdr:from>
    <xdr:to>
      <xdr:col>12</xdr:col>
      <xdr:colOff>17318</xdr:colOff>
      <xdr:row>7</xdr:row>
      <xdr:rowOff>66675</xdr:rowOff>
    </xdr:to>
    <xdr:cxnSp macro="">
      <xdr:nvCxnSpPr>
        <xdr:cNvPr id="12" name="Прямая со стрелкой 11">
          <a:extLst>
            <a:ext uri="{FF2B5EF4-FFF2-40B4-BE49-F238E27FC236}">
              <a16:creationId xmlns:a16="http://schemas.microsoft.com/office/drawing/2014/main" id="{DC15A972-B960-4E83-AB7E-7EE9DDA0B0C8}"/>
            </a:ext>
          </a:extLst>
        </xdr:cNvPr>
        <xdr:cNvCxnSpPr/>
      </xdr:nvCxnSpPr>
      <xdr:spPr>
        <a:xfrm flipH="1">
          <a:off x="5058641" y="736023"/>
          <a:ext cx="1626177" cy="52560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588818</xdr:colOff>
      <xdr:row>4</xdr:row>
      <xdr:rowOff>121228</xdr:rowOff>
    </xdr:from>
    <xdr:to>
      <xdr:col>20</xdr:col>
      <xdr:colOff>304800</xdr:colOff>
      <xdr:row>8</xdr:row>
      <xdr:rowOff>19050</xdr:rowOff>
    </xdr:to>
    <xdr:cxnSp macro="">
      <xdr:nvCxnSpPr>
        <xdr:cNvPr id="14" name="Прямая со стрелкой 13">
          <a:extLst>
            <a:ext uri="{FF2B5EF4-FFF2-40B4-BE49-F238E27FC236}">
              <a16:creationId xmlns:a16="http://schemas.microsoft.com/office/drawing/2014/main" id="{8AFF0C3D-1F67-4F1C-81CA-3F223FE2F9EE}"/>
            </a:ext>
          </a:extLst>
        </xdr:cNvPr>
        <xdr:cNvCxnSpPr/>
      </xdr:nvCxnSpPr>
      <xdr:spPr>
        <a:xfrm>
          <a:off x="10287000" y="718705"/>
          <a:ext cx="1534391" cy="69445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86180</xdr:colOff>
      <xdr:row>4</xdr:row>
      <xdr:rowOff>111838</xdr:rowOff>
    </xdr:from>
    <xdr:ext cx="535083" cy="30931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06B2BDE-DD95-48F1-BC80-8BC8610CAC5F}"/>
            </a:ext>
          </a:extLst>
        </xdr:cNvPr>
        <xdr:cNvSpPr txBox="1"/>
      </xdr:nvSpPr>
      <xdr:spPr>
        <a:xfrm rot="20559658">
          <a:off x="5867855" y="911938"/>
          <a:ext cx="535083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НЕТ</a:t>
          </a:r>
        </a:p>
      </xdr:txBody>
    </xdr:sp>
    <xdr:clientData/>
  </xdr:oneCellAnchor>
  <xdr:oneCellAnchor>
    <xdr:from>
      <xdr:col>9</xdr:col>
      <xdr:colOff>361343</xdr:colOff>
      <xdr:row>5</xdr:row>
      <xdr:rowOff>193032</xdr:rowOff>
    </xdr:from>
    <xdr:ext cx="1630063" cy="83016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5AB068C-08C2-427C-811E-BB2F2BEE4D61}"/>
            </a:ext>
          </a:extLst>
        </xdr:cNvPr>
        <xdr:cNvSpPr txBox="1"/>
      </xdr:nvSpPr>
      <xdr:spPr>
        <a:xfrm rot="20540066">
          <a:off x="5533418" y="1193157"/>
          <a:ext cx="1630063" cy="8301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Поставщик 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(подрядчик, исполнитель) 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будет определен 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результатам 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проведения</a:t>
          </a:r>
          <a:r>
            <a:rPr lang="ru-RU" sz="1000" b="0" i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закупк</a:t>
          </a:r>
          <a:r>
            <a:rPr lang="ru-RU" sz="1000" b="0" i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и.</a:t>
          </a:r>
          <a:endParaRPr lang="ru-RU" sz="10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oneCellAnchor>
  <xdr:twoCellAnchor>
    <xdr:from>
      <xdr:col>5</xdr:col>
      <xdr:colOff>600075</xdr:colOff>
      <xdr:row>8</xdr:row>
      <xdr:rowOff>19049</xdr:rowOff>
    </xdr:from>
    <xdr:to>
      <xdr:col>8</xdr:col>
      <xdr:colOff>590550</xdr:colOff>
      <xdr:row>13</xdr:row>
      <xdr:rowOff>57149</xdr:rowOff>
    </xdr:to>
    <xdr:sp macro="" textlink="">
      <xdr:nvSpPr>
        <xdr:cNvPr id="18" name="Прямоугольник: скругленные углы 17">
          <a:extLst>
            <a:ext uri="{FF2B5EF4-FFF2-40B4-BE49-F238E27FC236}">
              <a16:creationId xmlns:a16="http://schemas.microsoft.com/office/drawing/2014/main" id="{30D2D098-8C56-43FC-87A1-95D91D63A1A7}"/>
            </a:ext>
          </a:extLst>
        </xdr:cNvPr>
        <xdr:cNvSpPr/>
      </xdr:nvSpPr>
      <xdr:spPr>
        <a:xfrm>
          <a:off x="3038475" y="1419224"/>
          <a:ext cx="1819275" cy="1038225"/>
        </a:xfrm>
        <a:prstGeom prst="roundRect">
          <a:avLst/>
        </a:prstGeom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Количество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приобретаемых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товаров (работ, услуг)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известно?</a:t>
          </a:r>
        </a:p>
      </xdr:txBody>
    </xdr:sp>
    <xdr:clientData/>
  </xdr:twoCellAnchor>
  <xdr:twoCellAnchor>
    <xdr:from>
      <xdr:col>3</xdr:col>
      <xdr:colOff>6803</xdr:colOff>
      <xdr:row>13</xdr:row>
      <xdr:rowOff>123264</xdr:rowOff>
    </xdr:from>
    <xdr:to>
      <xdr:col>5</xdr:col>
      <xdr:colOff>526677</xdr:colOff>
      <xdr:row>21</xdr:row>
      <xdr:rowOff>13608</xdr:rowOff>
    </xdr:to>
    <xdr:cxnSp macro="">
      <xdr:nvCxnSpPr>
        <xdr:cNvPr id="19" name="Прямая со стрелкой 18">
          <a:extLst>
            <a:ext uri="{FF2B5EF4-FFF2-40B4-BE49-F238E27FC236}">
              <a16:creationId xmlns:a16="http://schemas.microsoft.com/office/drawing/2014/main" id="{57B10A2E-D22A-4E9C-81DF-BADF99E69636}"/>
            </a:ext>
          </a:extLst>
        </xdr:cNvPr>
        <xdr:cNvCxnSpPr/>
      </xdr:nvCxnSpPr>
      <xdr:spPr>
        <a:xfrm flipH="1">
          <a:off x="1231446" y="2490907"/>
          <a:ext cx="1744517" cy="146877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544863</xdr:colOff>
      <xdr:row>15</xdr:row>
      <xdr:rowOff>132744</xdr:rowOff>
    </xdr:from>
    <xdr:ext cx="535083" cy="30931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E2A7A0A-6617-47A6-89B2-612E7F0F0907}"/>
            </a:ext>
          </a:extLst>
        </xdr:cNvPr>
        <xdr:cNvSpPr txBox="1"/>
      </xdr:nvSpPr>
      <xdr:spPr>
        <a:xfrm rot="19203150">
          <a:off x="2059338" y="3133119"/>
          <a:ext cx="535083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НЕТ</a:t>
          </a:r>
        </a:p>
      </xdr:txBody>
    </xdr:sp>
    <xdr:clientData/>
  </xdr:oneCellAnchor>
  <xdr:twoCellAnchor>
    <xdr:from>
      <xdr:col>9</xdr:col>
      <xdr:colOff>76200</xdr:colOff>
      <xdr:row>13</xdr:row>
      <xdr:rowOff>123825</xdr:rowOff>
    </xdr:from>
    <xdr:to>
      <xdr:col>12</xdr:col>
      <xdr:colOff>0</xdr:colOff>
      <xdr:row>21</xdr:row>
      <xdr:rowOff>20411</xdr:rowOff>
    </xdr:to>
    <xdr:cxnSp macro="">
      <xdr:nvCxnSpPr>
        <xdr:cNvPr id="21" name="Прямая со стрелкой 20">
          <a:extLst>
            <a:ext uri="{FF2B5EF4-FFF2-40B4-BE49-F238E27FC236}">
              <a16:creationId xmlns:a16="http://schemas.microsoft.com/office/drawing/2014/main" id="{978C18A1-12DB-44E4-A70B-0AD61C7275D1}"/>
            </a:ext>
          </a:extLst>
        </xdr:cNvPr>
        <xdr:cNvCxnSpPr/>
      </xdr:nvCxnSpPr>
      <xdr:spPr>
        <a:xfrm>
          <a:off x="4974771" y="2491468"/>
          <a:ext cx="1760765" cy="1475014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162743</xdr:colOff>
      <xdr:row>15</xdr:row>
      <xdr:rowOff>113152</xdr:rowOff>
    </xdr:from>
    <xdr:ext cx="433324" cy="309315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59087A8-3617-4F37-A14E-D2E2276F96E0}"/>
            </a:ext>
          </a:extLst>
        </xdr:cNvPr>
        <xdr:cNvSpPr txBox="1"/>
      </xdr:nvSpPr>
      <xdr:spPr>
        <a:xfrm rot="2414161">
          <a:off x="5944418" y="3113527"/>
          <a:ext cx="433324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ДА</a:t>
          </a:r>
        </a:p>
      </xdr:txBody>
    </xdr:sp>
    <xdr:clientData/>
  </xdr:oneCellAnchor>
  <xdr:oneCellAnchor>
    <xdr:from>
      <xdr:col>3</xdr:col>
      <xdr:colOff>544502</xdr:colOff>
      <xdr:row>16</xdr:row>
      <xdr:rowOff>62152</xdr:rowOff>
    </xdr:from>
    <xdr:ext cx="1527726" cy="682238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211EFE0-1111-440E-B566-2F490A8AFF9F}"/>
            </a:ext>
          </a:extLst>
        </xdr:cNvPr>
        <xdr:cNvSpPr txBox="1"/>
      </xdr:nvSpPr>
      <xdr:spPr>
        <a:xfrm rot="19181732">
          <a:off x="2058977" y="3262552"/>
          <a:ext cx="1527726" cy="6822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Товар (работы, услуги)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будут приобретаться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заявкам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мере необходимости</a:t>
          </a:r>
          <a:r>
            <a:rPr lang="ru-RU" sz="1000" b="1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</xdr:txBody>
    </xdr:sp>
    <xdr:clientData/>
  </xdr:oneCellAnchor>
  <xdr:twoCellAnchor>
    <xdr:from>
      <xdr:col>21</xdr:col>
      <xdr:colOff>6308</xdr:colOff>
      <xdr:row>9</xdr:row>
      <xdr:rowOff>16451</xdr:rowOff>
    </xdr:from>
    <xdr:to>
      <xdr:col>23</xdr:col>
      <xdr:colOff>602920</xdr:colOff>
      <xdr:row>14</xdr:row>
      <xdr:rowOff>54551</xdr:rowOff>
    </xdr:to>
    <xdr:sp macro="" textlink="">
      <xdr:nvSpPr>
        <xdr:cNvPr id="37" name="Прямоугольник: скругленные углы 36">
          <a:extLst>
            <a:ext uri="{FF2B5EF4-FFF2-40B4-BE49-F238E27FC236}">
              <a16:creationId xmlns:a16="http://schemas.microsoft.com/office/drawing/2014/main" id="{284CE482-1CFF-4BC4-BDD0-5F853ADC2BA7}"/>
            </a:ext>
          </a:extLst>
        </xdr:cNvPr>
        <xdr:cNvSpPr/>
      </xdr:nvSpPr>
      <xdr:spPr>
        <a:xfrm>
          <a:off x="12129035" y="1609724"/>
          <a:ext cx="1808885" cy="1033895"/>
        </a:xfrm>
        <a:prstGeom prst="round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Количество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приобретаемых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товаров (работ, услуг)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известно?</a:t>
          </a:r>
        </a:p>
      </xdr:txBody>
    </xdr:sp>
    <xdr:clientData/>
  </xdr:twoCellAnchor>
  <xdr:twoCellAnchor>
    <xdr:from>
      <xdr:col>18</xdr:col>
      <xdr:colOff>19173</xdr:colOff>
      <xdr:row>14</xdr:row>
      <xdr:rowOff>120666</xdr:rowOff>
    </xdr:from>
    <xdr:to>
      <xdr:col>20</xdr:col>
      <xdr:colOff>539046</xdr:colOff>
      <xdr:row>22</xdr:row>
      <xdr:rowOff>11010</xdr:rowOff>
    </xdr:to>
    <xdr:cxnSp macro="">
      <xdr:nvCxnSpPr>
        <xdr:cNvPr id="38" name="Прямая со стрелкой 37">
          <a:extLst>
            <a:ext uri="{FF2B5EF4-FFF2-40B4-BE49-F238E27FC236}">
              <a16:creationId xmlns:a16="http://schemas.microsoft.com/office/drawing/2014/main" id="{71588161-CE3C-4E02-8E02-C7E866D61047}"/>
            </a:ext>
          </a:extLst>
        </xdr:cNvPr>
        <xdr:cNvCxnSpPr/>
      </xdr:nvCxnSpPr>
      <xdr:spPr>
        <a:xfrm flipH="1">
          <a:off x="10323491" y="2709734"/>
          <a:ext cx="1732146" cy="148361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560696</xdr:colOff>
      <xdr:row>16</xdr:row>
      <xdr:rowOff>130146</xdr:rowOff>
    </xdr:from>
    <xdr:ext cx="535083" cy="309315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9414117D-97DD-4B8E-A130-BB921B607D80}"/>
            </a:ext>
          </a:extLst>
        </xdr:cNvPr>
        <xdr:cNvSpPr txBox="1"/>
      </xdr:nvSpPr>
      <xdr:spPr>
        <a:xfrm rot="19203150">
          <a:off x="11219171" y="3330546"/>
          <a:ext cx="535083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НЕТ</a:t>
          </a:r>
        </a:p>
      </xdr:txBody>
    </xdr:sp>
    <xdr:clientData/>
  </xdr:oneCellAnchor>
  <xdr:twoCellAnchor>
    <xdr:from>
      <xdr:col>24</xdr:col>
      <xdr:colOff>88570</xdr:colOff>
      <xdr:row>14</xdr:row>
      <xdr:rowOff>121227</xdr:rowOff>
    </xdr:from>
    <xdr:to>
      <xdr:col>27</xdr:col>
      <xdr:colOff>12370</xdr:colOff>
      <xdr:row>22</xdr:row>
      <xdr:rowOff>17813</xdr:rowOff>
    </xdr:to>
    <xdr:cxnSp macro="">
      <xdr:nvCxnSpPr>
        <xdr:cNvPr id="40" name="Прямая со стрелкой 39">
          <a:extLst>
            <a:ext uri="{FF2B5EF4-FFF2-40B4-BE49-F238E27FC236}">
              <a16:creationId xmlns:a16="http://schemas.microsoft.com/office/drawing/2014/main" id="{F2C21143-2FC5-45C1-A828-551D8DA159EB}"/>
            </a:ext>
          </a:extLst>
        </xdr:cNvPr>
        <xdr:cNvCxnSpPr/>
      </xdr:nvCxnSpPr>
      <xdr:spPr>
        <a:xfrm>
          <a:off x="14029706" y="2710295"/>
          <a:ext cx="1742209" cy="148985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561104</xdr:colOff>
      <xdr:row>17</xdr:row>
      <xdr:rowOff>59329</xdr:rowOff>
    </xdr:from>
    <xdr:ext cx="1519262" cy="68268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7B1EEE64-1EF7-4E6F-A200-5D81FD7B1045}"/>
            </a:ext>
          </a:extLst>
        </xdr:cNvPr>
        <xdr:cNvSpPr txBox="1"/>
      </xdr:nvSpPr>
      <xdr:spPr>
        <a:xfrm rot="19181732">
          <a:off x="11219579" y="3459754"/>
          <a:ext cx="1519262" cy="682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Товар (работы, услуги)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будут приобретаться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заявкам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мере необходимост</a:t>
          </a:r>
          <a:r>
            <a:rPr lang="ru-RU" sz="10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и.</a:t>
          </a:r>
        </a:p>
      </xdr:txBody>
    </xdr:sp>
    <xdr:clientData/>
  </xdr:oneCellAnchor>
  <xdr:oneCellAnchor>
    <xdr:from>
      <xdr:col>19</xdr:col>
      <xdr:colOff>9439</xdr:colOff>
      <xdr:row>4</xdr:row>
      <xdr:rowOff>152985</xdr:rowOff>
    </xdr:from>
    <xdr:ext cx="433324" cy="309315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31D53E12-3815-4855-8B9E-B6D35809369D}"/>
            </a:ext>
          </a:extLst>
        </xdr:cNvPr>
        <xdr:cNvSpPr txBox="1"/>
      </xdr:nvSpPr>
      <xdr:spPr>
        <a:xfrm rot="1473934">
          <a:off x="11277514" y="953085"/>
          <a:ext cx="433324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ДА</a:t>
          </a:r>
        </a:p>
      </xdr:txBody>
    </xdr:sp>
    <xdr:clientData/>
  </xdr:oneCellAnchor>
  <xdr:oneCellAnchor>
    <xdr:from>
      <xdr:col>25</xdr:col>
      <xdr:colOff>217258</xdr:colOff>
      <xdr:row>16</xdr:row>
      <xdr:rowOff>170303</xdr:rowOff>
    </xdr:from>
    <xdr:ext cx="433324" cy="309315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8716E76-3739-47B2-BC1F-7C4A83580E65}"/>
            </a:ext>
          </a:extLst>
        </xdr:cNvPr>
        <xdr:cNvSpPr txBox="1"/>
      </xdr:nvSpPr>
      <xdr:spPr>
        <a:xfrm rot="2414161">
          <a:off x="15142933" y="3370703"/>
          <a:ext cx="433324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ДА</a:t>
          </a:r>
        </a:p>
      </xdr:txBody>
    </xdr:sp>
    <xdr:clientData/>
  </xdr:oneCellAnchor>
  <xdr:twoCellAnchor>
    <xdr:from>
      <xdr:col>2</xdr:col>
      <xdr:colOff>0</xdr:colOff>
      <xdr:row>23</xdr:row>
      <xdr:rowOff>19050</xdr:rowOff>
    </xdr:from>
    <xdr:to>
      <xdr:col>4</xdr:col>
      <xdr:colOff>600075</xdr:colOff>
      <xdr:row>28</xdr:row>
      <xdr:rowOff>57150</xdr:rowOff>
    </xdr:to>
    <xdr:sp macro="" textlink="">
      <xdr:nvSpPr>
        <xdr:cNvPr id="49" name="Прямоугольник: скругленные углы 4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686FE7-6B16-45CE-8135-16DD93ECF028}"/>
            </a:ext>
          </a:extLst>
        </xdr:cNvPr>
        <xdr:cNvSpPr/>
      </xdr:nvSpPr>
      <xdr:spPr>
        <a:xfrm>
          <a:off x="904875" y="4619625"/>
          <a:ext cx="1819275" cy="1038225"/>
        </a:xfrm>
        <a:prstGeom prst="roundRect">
          <a:avLst/>
        </a:prstGeom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НАЖМИТЕ СЮДА</a:t>
          </a:r>
        </a:p>
      </xdr:txBody>
    </xdr:sp>
    <xdr:clientData/>
  </xdr:twoCellAnchor>
  <xdr:twoCellAnchor>
    <xdr:from>
      <xdr:col>10</xdr:col>
      <xdr:colOff>9525</xdr:colOff>
      <xdr:row>23</xdr:row>
      <xdr:rowOff>19050</xdr:rowOff>
    </xdr:from>
    <xdr:to>
      <xdr:col>13</xdr:col>
      <xdr:colOff>0</xdr:colOff>
      <xdr:row>28</xdr:row>
      <xdr:rowOff>57150</xdr:rowOff>
    </xdr:to>
    <xdr:sp macro="" textlink="">
      <xdr:nvSpPr>
        <xdr:cNvPr id="50" name="Прямоугольник: скругленные углы 4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13698-D9D7-4508-AF15-5818BE51D4DF}"/>
            </a:ext>
          </a:extLst>
        </xdr:cNvPr>
        <xdr:cNvSpPr/>
      </xdr:nvSpPr>
      <xdr:spPr>
        <a:xfrm>
          <a:off x="5495925" y="4419600"/>
          <a:ext cx="1819275" cy="1038225"/>
        </a:xfrm>
        <a:prstGeom prst="roundRect">
          <a:avLst/>
        </a:prstGeom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НАЖМИТЕ СЮДА</a:t>
          </a:r>
        </a:p>
      </xdr:txBody>
    </xdr:sp>
    <xdr:clientData/>
  </xdr:twoCellAnchor>
  <xdr:twoCellAnchor>
    <xdr:from>
      <xdr:col>17</xdr:col>
      <xdr:colOff>9525</xdr:colOff>
      <xdr:row>23</xdr:row>
      <xdr:rowOff>28575</xdr:rowOff>
    </xdr:from>
    <xdr:to>
      <xdr:col>20</xdr:col>
      <xdr:colOff>0</xdr:colOff>
      <xdr:row>28</xdr:row>
      <xdr:rowOff>66675</xdr:rowOff>
    </xdr:to>
    <xdr:sp macro="" textlink="">
      <xdr:nvSpPr>
        <xdr:cNvPr id="51" name="Прямоугольник: скругленные углы 5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2EDF67-D0C2-4361-A260-4A47CFBBE917}"/>
            </a:ext>
          </a:extLst>
        </xdr:cNvPr>
        <xdr:cNvSpPr/>
      </xdr:nvSpPr>
      <xdr:spPr>
        <a:xfrm>
          <a:off x="10058400" y="4629150"/>
          <a:ext cx="1819275" cy="1038225"/>
        </a:xfrm>
        <a:prstGeom prst="round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НАЖМИТЕ</a:t>
          </a:r>
          <a:r>
            <a:rPr lang="ru-RU" sz="12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СЮДА</a:t>
          </a:r>
          <a:endParaRPr lang="ru-RU" sz="12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19050</xdr:colOff>
      <xdr:row>23</xdr:row>
      <xdr:rowOff>28575</xdr:rowOff>
    </xdr:from>
    <xdr:to>
      <xdr:col>28</xdr:col>
      <xdr:colOff>9525</xdr:colOff>
      <xdr:row>28</xdr:row>
      <xdr:rowOff>66675</xdr:rowOff>
    </xdr:to>
    <xdr:sp macro="" textlink="">
      <xdr:nvSpPr>
        <xdr:cNvPr id="52" name="Прямоугольник: скругленные углы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7E2EC4-88F3-408A-9884-96B8B0168189}"/>
            </a:ext>
          </a:extLst>
        </xdr:cNvPr>
        <xdr:cNvSpPr/>
      </xdr:nvSpPr>
      <xdr:spPr>
        <a:xfrm>
          <a:off x="14649450" y="4429125"/>
          <a:ext cx="1819275" cy="1038225"/>
        </a:xfrm>
        <a:prstGeom prst="round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НАЖМИТЕ</a:t>
          </a:r>
          <a:r>
            <a:rPr lang="ru-RU" sz="12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С</a:t>
          </a:r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ЮДА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1334233</xdr:colOff>
      <xdr:row>17</xdr:row>
      <xdr:rowOff>55684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40CD37-61F4-4377-B91F-A529745680D8}"/>
            </a:ext>
          </a:extLst>
        </xdr:cNvPr>
        <xdr:cNvSpPr txBox="1"/>
      </xdr:nvSpPr>
      <xdr:spPr>
        <a:xfrm>
          <a:off x="7220683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11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D38BDA1-6272-4DAE-8511-3B0A99813698}"/>
            </a:ext>
          </a:extLst>
        </xdr:cNvPr>
        <xdr:cNvSpPr txBox="1"/>
      </xdr:nvSpPr>
      <xdr:spPr>
        <a:xfrm>
          <a:off x="7220683" y="455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41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320FEDC-10C6-49B7-B672-ED64BCA09D8A}"/>
            </a:ext>
          </a:extLst>
        </xdr:cNvPr>
        <xdr:cNvSpPr txBox="1"/>
      </xdr:nvSpPr>
      <xdr:spPr>
        <a:xfrm>
          <a:off x="7220683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41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BEF8312-D468-4D50-859C-74AB210A1DA4}"/>
            </a:ext>
          </a:extLst>
        </xdr:cNvPr>
        <xdr:cNvSpPr txBox="1"/>
      </xdr:nvSpPr>
      <xdr:spPr>
        <a:xfrm>
          <a:off x="7220683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17</xdr:row>
      <xdr:rowOff>55684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41CE3C2-76C8-4718-A4CC-B230659A8C67}"/>
            </a:ext>
          </a:extLst>
        </xdr:cNvPr>
        <xdr:cNvSpPr txBox="1"/>
      </xdr:nvSpPr>
      <xdr:spPr>
        <a:xfrm>
          <a:off x="10078183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11</xdr:row>
      <xdr:rowOff>55684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BBBD3A0-C65C-43C7-9E47-BF594E570325}"/>
            </a:ext>
          </a:extLst>
        </xdr:cNvPr>
        <xdr:cNvSpPr txBox="1"/>
      </xdr:nvSpPr>
      <xdr:spPr>
        <a:xfrm>
          <a:off x="7220683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11</xdr:row>
      <xdr:rowOff>55684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ED706C2-8A4B-4BE1-BFBC-2CAC69F71388}"/>
            </a:ext>
          </a:extLst>
        </xdr:cNvPr>
        <xdr:cNvSpPr txBox="1"/>
      </xdr:nvSpPr>
      <xdr:spPr>
        <a:xfrm>
          <a:off x="10078183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BA52EC1-A602-45B0-AA99-BE6CA3AD0338}"/>
            </a:ext>
          </a:extLst>
        </xdr:cNvPr>
        <xdr:cNvSpPr txBox="1"/>
      </xdr:nvSpPr>
      <xdr:spPr>
        <a:xfrm>
          <a:off x="7220683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92FBA90-817D-4FA5-BAE0-6A822ACF29DC}"/>
            </a:ext>
          </a:extLst>
        </xdr:cNvPr>
        <xdr:cNvSpPr txBox="1"/>
      </xdr:nvSpPr>
      <xdr:spPr>
        <a:xfrm>
          <a:off x="7220683" y="50372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F23556A-570D-4A48-B06C-7A4D1A95BD1E}"/>
            </a:ext>
          </a:extLst>
        </xdr:cNvPr>
        <xdr:cNvSpPr txBox="1"/>
      </xdr:nvSpPr>
      <xdr:spPr>
        <a:xfrm>
          <a:off x="10078183" y="50372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834B570-2912-43CE-ADED-BB31BDD1FA55}"/>
            </a:ext>
          </a:extLst>
        </xdr:cNvPr>
        <xdr:cNvSpPr txBox="1"/>
      </xdr:nvSpPr>
      <xdr:spPr>
        <a:xfrm>
          <a:off x="7220683" y="541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6C3F360-E293-4E94-8EDF-AACEC3DF6733}"/>
            </a:ext>
          </a:extLst>
        </xdr:cNvPr>
        <xdr:cNvSpPr txBox="1"/>
      </xdr:nvSpPr>
      <xdr:spPr>
        <a:xfrm>
          <a:off x="7220683" y="54658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1F48D73-CE58-4277-B735-7FF0368EC732}"/>
            </a:ext>
          </a:extLst>
        </xdr:cNvPr>
        <xdr:cNvSpPr txBox="1"/>
      </xdr:nvSpPr>
      <xdr:spPr>
        <a:xfrm>
          <a:off x="10078183" y="54658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24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B229E4E-6E0E-44C0-AEEF-860F158C0CA8}"/>
            </a:ext>
          </a:extLst>
        </xdr:cNvPr>
        <xdr:cNvSpPr txBox="1"/>
      </xdr:nvSpPr>
      <xdr:spPr>
        <a:xfrm>
          <a:off x="7610150" y="62441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24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5C911D1-4C68-4183-ABB7-F4EC00ABB5E5}"/>
            </a:ext>
          </a:extLst>
        </xdr:cNvPr>
        <xdr:cNvSpPr txBox="1"/>
      </xdr:nvSpPr>
      <xdr:spPr>
        <a:xfrm>
          <a:off x="7610150" y="6299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24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97D13B6-8CD0-4501-ABC7-2D4BC60CCAB4}"/>
            </a:ext>
          </a:extLst>
        </xdr:cNvPr>
        <xdr:cNvSpPr txBox="1"/>
      </xdr:nvSpPr>
      <xdr:spPr>
        <a:xfrm>
          <a:off x="10467650" y="6299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CBDF3B1-0916-4D67-8938-24EC57F5A8C9}"/>
            </a:ext>
          </a:extLst>
        </xdr:cNvPr>
        <xdr:cNvSpPr txBox="1"/>
      </xdr:nvSpPr>
      <xdr:spPr>
        <a:xfrm>
          <a:off x="7610150" y="667808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13</xdr:row>
      <xdr:rowOff>55684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A451641-A1ED-46AE-B8E8-E0AB23AB27FE}"/>
            </a:ext>
          </a:extLst>
        </xdr:cNvPr>
        <xdr:cNvSpPr txBox="1"/>
      </xdr:nvSpPr>
      <xdr:spPr>
        <a:xfrm>
          <a:off x="7610150" y="6733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13</xdr:row>
      <xdr:rowOff>55684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334D6D0-CFB9-48FB-8BFC-F8EC61A7E82E}"/>
            </a:ext>
          </a:extLst>
        </xdr:cNvPr>
        <xdr:cNvSpPr txBox="1"/>
      </xdr:nvSpPr>
      <xdr:spPr>
        <a:xfrm>
          <a:off x="10467650" y="6733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21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D6AA9F6-9EB2-48E4-BCFD-81D5821EFE0B}"/>
            </a:ext>
          </a:extLst>
        </xdr:cNvPr>
        <xdr:cNvSpPr txBox="1"/>
      </xdr:nvSpPr>
      <xdr:spPr>
        <a:xfrm>
          <a:off x="7610150" y="62441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21</xdr:row>
      <xdr:rowOff>55684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89ADD80-BC31-4959-B00B-9BBD05CB1811}"/>
            </a:ext>
          </a:extLst>
        </xdr:cNvPr>
        <xdr:cNvSpPr txBox="1"/>
      </xdr:nvSpPr>
      <xdr:spPr>
        <a:xfrm>
          <a:off x="7610150" y="6299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21</xdr:row>
      <xdr:rowOff>55684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0822524-A4B6-4C3E-B5D8-995245599FB3}"/>
            </a:ext>
          </a:extLst>
        </xdr:cNvPr>
        <xdr:cNvSpPr txBox="1"/>
      </xdr:nvSpPr>
      <xdr:spPr>
        <a:xfrm>
          <a:off x="10467650" y="6299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9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F598569-A866-437D-801B-5BCEE6661730}"/>
            </a:ext>
          </a:extLst>
        </xdr:cNvPr>
        <xdr:cNvSpPr txBox="1"/>
      </xdr:nvSpPr>
      <xdr:spPr>
        <a:xfrm>
          <a:off x="7610150" y="667808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9</xdr:row>
      <xdr:rowOff>55684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464E85A-FFC1-47B3-A877-A4632A0D8D46}"/>
            </a:ext>
          </a:extLst>
        </xdr:cNvPr>
        <xdr:cNvSpPr txBox="1"/>
      </xdr:nvSpPr>
      <xdr:spPr>
        <a:xfrm>
          <a:off x="7610150" y="6733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9</xdr:row>
      <xdr:rowOff>55684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F2B9D5B9-7CB5-4932-8E44-295FB6F9FA23}"/>
            </a:ext>
          </a:extLst>
        </xdr:cNvPr>
        <xdr:cNvSpPr txBox="1"/>
      </xdr:nvSpPr>
      <xdr:spPr>
        <a:xfrm>
          <a:off x="10467650" y="6733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5FAAA75-29FF-43B6-BCB3-6A0DAB3335DC}"/>
            </a:ext>
          </a:extLst>
        </xdr:cNvPr>
        <xdr:cNvSpPr txBox="1"/>
      </xdr:nvSpPr>
      <xdr:spPr>
        <a:xfrm>
          <a:off x="7610150" y="797983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EA9A88A-2744-4387-B055-6F16D9431A44}"/>
            </a:ext>
          </a:extLst>
        </xdr:cNvPr>
        <xdr:cNvSpPr txBox="1"/>
      </xdr:nvSpPr>
      <xdr:spPr>
        <a:xfrm>
          <a:off x="7610150" y="80355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E4DDCD84-AE1C-47F5-AFCD-C346E5665E29}"/>
            </a:ext>
          </a:extLst>
        </xdr:cNvPr>
        <xdr:cNvSpPr txBox="1"/>
      </xdr:nvSpPr>
      <xdr:spPr>
        <a:xfrm>
          <a:off x="10467650" y="80355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32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78270A5A-37E9-4D36-87A6-603FC7BF5190}"/>
            </a:ext>
          </a:extLst>
        </xdr:cNvPr>
        <xdr:cNvSpPr txBox="1"/>
      </xdr:nvSpPr>
      <xdr:spPr>
        <a:xfrm>
          <a:off x="7610150" y="62441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32</xdr:row>
      <xdr:rowOff>55684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1B25F43-4D84-41E2-ACB6-1DF1EC8DF717}"/>
            </a:ext>
          </a:extLst>
        </xdr:cNvPr>
        <xdr:cNvSpPr txBox="1"/>
      </xdr:nvSpPr>
      <xdr:spPr>
        <a:xfrm>
          <a:off x="7610150" y="6299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32</xdr:row>
      <xdr:rowOff>55684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CEBE746-A467-4368-A939-801C818C21D1}"/>
            </a:ext>
          </a:extLst>
        </xdr:cNvPr>
        <xdr:cNvSpPr txBox="1"/>
      </xdr:nvSpPr>
      <xdr:spPr>
        <a:xfrm>
          <a:off x="10467650" y="6299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33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7025A4AA-FD91-4062-8F43-CD49593741D8}"/>
            </a:ext>
          </a:extLst>
        </xdr:cNvPr>
        <xdr:cNvSpPr txBox="1"/>
      </xdr:nvSpPr>
      <xdr:spPr>
        <a:xfrm>
          <a:off x="7610150" y="667808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33</xdr:row>
      <xdr:rowOff>55684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A2E5043C-9E7F-4A8D-AF6E-5A6C7E384856}"/>
            </a:ext>
          </a:extLst>
        </xdr:cNvPr>
        <xdr:cNvSpPr txBox="1"/>
      </xdr:nvSpPr>
      <xdr:spPr>
        <a:xfrm>
          <a:off x="7610150" y="6733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33</xdr:row>
      <xdr:rowOff>55684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1D64D644-8217-41DD-8F15-B5A4B653B321}"/>
            </a:ext>
          </a:extLst>
        </xdr:cNvPr>
        <xdr:cNvSpPr txBox="1"/>
      </xdr:nvSpPr>
      <xdr:spPr>
        <a:xfrm>
          <a:off x="10467650" y="6733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29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9BB36B2-0B3B-49CC-A60D-CBEF1CFAF12C}"/>
            </a:ext>
          </a:extLst>
        </xdr:cNvPr>
        <xdr:cNvSpPr txBox="1"/>
      </xdr:nvSpPr>
      <xdr:spPr>
        <a:xfrm>
          <a:off x="7610150" y="1405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29</xdr:row>
      <xdr:rowOff>55684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E1213E9-8529-4699-A7EB-7E61927F9604}"/>
            </a:ext>
          </a:extLst>
        </xdr:cNvPr>
        <xdr:cNvSpPr txBox="1"/>
      </xdr:nvSpPr>
      <xdr:spPr>
        <a:xfrm>
          <a:off x="7610150" y="14110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29</xdr:row>
      <xdr:rowOff>55684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3EF6A10-2DCA-44E2-9F8F-B629D56D30A0}"/>
            </a:ext>
          </a:extLst>
        </xdr:cNvPr>
        <xdr:cNvSpPr txBox="1"/>
      </xdr:nvSpPr>
      <xdr:spPr>
        <a:xfrm>
          <a:off x="10467650" y="14110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9C9CD2C-2B04-4B93-8714-5DD8EEAA28AD}"/>
            </a:ext>
          </a:extLst>
        </xdr:cNvPr>
        <xdr:cNvSpPr txBox="1"/>
      </xdr:nvSpPr>
      <xdr:spPr>
        <a:xfrm>
          <a:off x="7610150" y="1231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26</xdr:row>
      <xdr:rowOff>55684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2AA4A3ED-0059-4805-82DF-48D568B5B452}"/>
            </a:ext>
          </a:extLst>
        </xdr:cNvPr>
        <xdr:cNvSpPr txBox="1"/>
      </xdr:nvSpPr>
      <xdr:spPr>
        <a:xfrm>
          <a:off x="7610150" y="123746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26</xdr:row>
      <xdr:rowOff>55684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BF411781-7971-4F85-9CE4-73DC61285405}"/>
            </a:ext>
          </a:extLst>
        </xdr:cNvPr>
        <xdr:cNvSpPr txBox="1"/>
      </xdr:nvSpPr>
      <xdr:spPr>
        <a:xfrm>
          <a:off x="10467650" y="123746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27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AD9E4A57-9131-4C17-B2AE-8D89550C2F42}"/>
            </a:ext>
          </a:extLst>
        </xdr:cNvPr>
        <xdr:cNvSpPr txBox="1"/>
      </xdr:nvSpPr>
      <xdr:spPr>
        <a:xfrm>
          <a:off x="7610150" y="127529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27</xdr:row>
      <xdr:rowOff>55684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BBF1446-7EC7-4D0C-840F-434EE6A8C35A}"/>
            </a:ext>
          </a:extLst>
        </xdr:cNvPr>
        <xdr:cNvSpPr txBox="1"/>
      </xdr:nvSpPr>
      <xdr:spPr>
        <a:xfrm>
          <a:off x="7610150" y="128086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27</xdr:row>
      <xdr:rowOff>55684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4B9CF368-9C09-4225-B282-F64E01F3BD61}"/>
            </a:ext>
          </a:extLst>
        </xdr:cNvPr>
        <xdr:cNvSpPr txBox="1"/>
      </xdr:nvSpPr>
      <xdr:spPr>
        <a:xfrm>
          <a:off x="10467650" y="128086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17</xdr:row>
      <xdr:rowOff>55684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BE10DD3D-6994-4D83-AD79-5BE3002B25C1}"/>
            </a:ext>
          </a:extLst>
        </xdr:cNvPr>
        <xdr:cNvSpPr txBox="1"/>
      </xdr:nvSpPr>
      <xdr:spPr>
        <a:xfrm>
          <a:off x="7639783" y="360850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21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6110B7A-0397-4B83-BF73-49DE41EAB298}"/>
            </a:ext>
          </a:extLst>
        </xdr:cNvPr>
        <xdr:cNvSpPr txBox="1"/>
      </xdr:nvSpPr>
      <xdr:spPr>
        <a:xfrm>
          <a:off x="7639783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21</xdr:row>
      <xdr:rowOff>55684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257EF5D5-F75D-4DAC-A28B-461A7A8E9DB9}"/>
            </a:ext>
          </a:extLst>
        </xdr:cNvPr>
        <xdr:cNvSpPr txBox="1"/>
      </xdr:nvSpPr>
      <xdr:spPr>
        <a:xfrm>
          <a:off x="7639783" y="50848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9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639811AC-ACB9-4D58-803A-C488A13D80EB}"/>
            </a:ext>
          </a:extLst>
        </xdr:cNvPr>
        <xdr:cNvSpPr txBox="1"/>
      </xdr:nvSpPr>
      <xdr:spPr>
        <a:xfrm>
          <a:off x="7639783" y="5457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9</xdr:row>
      <xdr:rowOff>55684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FA9F56A-EAB4-4FA7-BC83-560195FAC922}"/>
            </a:ext>
          </a:extLst>
        </xdr:cNvPr>
        <xdr:cNvSpPr txBox="1"/>
      </xdr:nvSpPr>
      <xdr:spPr>
        <a:xfrm>
          <a:off x="7639783" y="551350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14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7358950-E8E7-4B16-99D1-6E1DB194BCB8}"/>
            </a:ext>
          </a:extLst>
        </xdr:cNvPr>
        <xdr:cNvSpPr txBox="1"/>
      </xdr:nvSpPr>
      <xdr:spPr>
        <a:xfrm>
          <a:off x="7639783" y="58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14</xdr:row>
      <xdr:rowOff>55684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DD1D10A8-2B43-4B5A-A7B8-682DBBA2D0A1}"/>
            </a:ext>
          </a:extLst>
        </xdr:cNvPr>
        <xdr:cNvSpPr txBox="1"/>
      </xdr:nvSpPr>
      <xdr:spPr>
        <a:xfrm>
          <a:off x="7639783" y="59421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27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46B07A4F-7DD7-487F-AD12-3059BE292779}"/>
            </a:ext>
          </a:extLst>
        </xdr:cNvPr>
        <xdr:cNvSpPr txBox="1"/>
      </xdr:nvSpPr>
      <xdr:spPr>
        <a:xfrm>
          <a:off x="7639783" y="103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27</xdr:row>
      <xdr:rowOff>55684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1E5B07A3-032E-4287-A538-226BCCE2AC59}"/>
            </a:ext>
          </a:extLst>
        </xdr:cNvPr>
        <xdr:cNvSpPr txBox="1"/>
      </xdr:nvSpPr>
      <xdr:spPr>
        <a:xfrm>
          <a:off x="7639783" y="104188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E058DD7F-0DB6-4DCD-8F82-F53DEC12EBDE}"/>
            </a:ext>
          </a:extLst>
        </xdr:cNvPr>
        <xdr:cNvSpPr txBox="1"/>
      </xdr:nvSpPr>
      <xdr:spPr>
        <a:xfrm>
          <a:off x="7610150" y="84349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D14C8B84-EA58-4589-BD55-F88F6B3C2A41}"/>
            </a:ext>
          </a:extLst>
        </xdr:cNvPr>
        <xdr:cNvSpPr txBox="1"/>
      </xdr:nvSpPr>
      <xdr:spPr>
        <a:xfrm>
          <a:off x="7610150" y="84906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E8DA0FED-0E8B-473A-87AA-B7A8C1F69E59}"/>
            </a:ext>
          </a:extLst>
        </xdr:cNvPr>
        <xdr:cNvSpPr txBox="1"/>
      </xdr:nvSpPr>
      <xdr:spPr>
        <a:xfrm>
          <a:off x="9514417" y="84906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33</xdr:row>
      <xdr:rowOff>55684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BCA0755C-79CF-4F39-B8A2-F3691837199B}"/>
            </a:ext>
          </a:extLst>
        </xdr:cNvPr>
        <xdr:cNvSpPr txBox="1"/>
      </xdr:nvSpPr>
      <xdr:spPr>
        <a:xfrm>
          <a:off x="7610150" y="7823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33</xdr:row>
      <xdr:rowOff>55684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35204C95-0E00-49EF-B167-F4DB307F034F}"/>
            </a:ext>
          </a:extLst>
        </xdr:cNvPr>
        <xdr:cNvSpPr txBox="1"/>
      </xdr:nvSpPr>
      <xdr:spPr>
        <a:xfrm>
          <a:off x="9514417" y="7823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34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24AA1EBB-2765-40B6-864B-7B0414B259B4}"/>
            </a:ext>
          </a:extLst>
        </xdr:cNvPr>
        <xdr:cNvSpPr txBox="1"/>
      </xdr:nvSpPr>
      <xdr:spPr>
        <a:xfrm>
          <a:off x="7610150" y="79904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34</xdr:row>
      <xdr:rowOff>55684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C776EE0C-0559-47D8-A724-A9202628F493}"/>
            </a:ext>
          </a:extLst>
        </xdr:cNvPr>
        <xdr:cNvSpPr txBox="1"/>
      </xdr:nvSpPr>
      <xdr:spPr>
        <a:xfrm>
          <a:off x="7610150" y="8046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34</xdr:row>
      <xdr:rowOff>55684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1B6138B-85CF-4D4F-BE0E-D56AAC36C4E5}"/>
            </a:ext>
          </a:extLst>
        </xdr:cNvPr>
        <xdr:cNvSpPr txBox="1"/>
      </xdr:nvSpPr>
      <xdr:spPr>
        <a:xfrm>
          <a:off x="9514417" y="8046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34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7BF58FB9-5648-494F-A37F-47BD6BC402E8}"/>
            </a:ext>
          </a:extLst>
        </xdr:cNvPr>
        <xdr:cNvSpPr txBox="1"/>
      </xdr:nvSpPr>
      <xdr:spPr>
        <a:xfrm>
          <a:off x="7610150" y="79904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34</xdr:row>
      <xdr:rowOff>55684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F406BDF4-4C6D-4BD1-A24C-2CEDB16AEDA4}"/>
            </a:ext>
          </a:extLst>
        </xdr:cNvPr>
        <xdr:cNvSpPr txBox="1"/>
      </xdr:nvSpPr>
      <xdr:spPr>
        <a:xfrm>
          <a:off x="7610150" y="8046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18</xdr:row>
      <xdr:rowOff>55684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EE161EF7-C75E-4EC3-B485-886A148F4183}"/>
            </a:ext>
          </a:extLst>
        </xdr:cNvPr>
        <xdr:cNvSpPr txBox="1"/>
      </xdr:nvSpPr>
      <xdr:spPr>
        <a:xfrm>
          <a:off x="7610150" y="64691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18</xdr:row>
      <xdr:rowOff>55684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84CF9FB0-0179-4AA3-983C-CDDF0AB9D1E0}"/>
            </a:ext>
          </a:extLst>
        </xdr:cNvPr>
        <xdr:cNvSpPr txBox="1"/>
      </xdr:nvSpPr>
      <xdr:spPr>
        <a:xfrm>
          <a:off x="9514417" y="64691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18</xdr:row>
      <xdr:rowOff>55684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F8CE354-9AB0-42DE-87A6-24BF151CF1F3}"/>
            </a:ext>
          </a:extLst>
        </xdr:cNvPr>
        <xdr:cNvSpPr txBox="1"/>
      </xdr:nvSpPr>
      <xdr:spPr>
        <a:xfrm>
          <a:off x="7610150" y="64691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31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355D2902-9624-4BA2-A6B4-EF94D4D2156B}"/>
            </a:ext>
          </a:extLst>
        </xdr:cNvPr>
        <xdr:cNvSpPr txBox="1"/>
      </xdr:nvSpPr>
      <xdr:spPr>
        <a:xfrm>
          <a:off x="7610150" y="988483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31</xdr:row>
      <xdr:rowOff>55684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4CE9813D-7DF9-46C5-B812-7594C3A14EBF}"/>
            </a:ext>
          </a:extLst>
        </xdr:cNvPr>
        <xdr:cNvSpPr txBox="1"/>
      </xdr:nvSpPr>
      <xdr:spPr>
        <a:xfrm>
          <a:off x="7610150" y="99405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0</xdr:colOff>
      <xdr:row>31</xdr:row>
      <xdr:rowOff>55684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8C56E316-90B1-42EF-A95C-43F766E6E73B}"/>
            </a:ext>
          </a:extLst>
        </xdr:cNvPr>
        <xdr:cNvSpPr txBox="1"/>
      </xdr:nvSpPr>
      <xdr:spPr>
        <a:xfrm>
          <a:off x="10466917" y="99405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31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406CC571-B8E2-4696-B3B2-D928B11979A8}"/>
            </a:ext>
          </a:extLst>
        </xdr:cNvPr>
        <xdr:cNvSpPr txBox="1"/>
      </xdr:nvSpPr>
      <xdr:spPr>
        <a:xfrm>
          <a:off x="7610150" y="988483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31</xdr:row>
      <xdr:rowOff>55684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B6F5EE51-E632-47EE-BE9C-167CD453FCFC}"/>
            </a:ext>
          </a:extLst>
        </xdr:cNvPr>
        <xdr:cNvSpPr txBox="1"/>
      </xdr:nvSpPr>
      <xdr:spPr>
        <a:xfrm>
          <a:off x="7610150" y="99405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1334233</xdr:colOff>
      <xdr:row>7</xdr:row>
      <xdr:rowOff>55684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C6FF137-9FBC-4461-BB10-85D475C89D4F}"/>
            </a:ext>
          </a:extLst>
        </xdr:cNvPr>
        <xdr:cNvSpPr txBox="1"/>
      </xdr:nvSpPr>
      <xdr:spPr>
        <a:xfrm>
          <a:off x="8294810" y="342606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BA80DF0-A77F-4826-8A33-DD600398167E}"/>
            </a:ext>
          </a:extLst>
        </xdr:cNvPr>
        <xdr:cNvSpPr txBox="1"/>
      </xdr:nvSpPr>
      <xdr:spPr>
        <a:xfrm>
          <a:off x="8287483" y="34489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B9E0BF1-74B8-4C73-918D-5CBC9F549AE2}"/>
            </a:ext>
          </a:extLst>
        </xdr:cNvPr>
        <xdr:cNvSpPr txBox="1"/>
      </xdr:nvSpPr>
      <xdr:spPr>
        <a:xfrm>
          <a:off x="8298066" y="344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4008A6E-AA6C-4201-861B-BD39745A85B3}"/>
            </a:ext>
          </a:extLst>
        </xdr:cNvPr>
        <xdr:cNvSpPr txBox="1"/>
      </xdr:nvSpPr>
      <xdr:spPr>
        <a:xfrm>
          <a:off x="8298066" y="36434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7</xdr:row>
      <xdr:rowOff>55684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11055EB-B647-42C7-A938-03623F9370FE}"/>
            </a:ext>
          </a:extLst>
        </xdr:cNvPr>
        <xdr:cNvSpPr txBox="1"/>
      </xdr:nvSpPr>
      <xdr:spPr>
        <a:xfrm>
          <a:off x="6657650" y="3347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55684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383376F-1371-4B17-BC89-2317E41E76AE}"/>
            </a:ext>
          </a:extLst>
        </xdr:cNvPr>
        <xdr:cNvSpPr txBox="1"/>
      </xdr:nvSpPr>
      <xdr:spPr>
        <a:xfrm>
          <a:off x="6657650" y="3347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10</xdr:row>
      <xdr:rowOff>55684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AC3155D-9275-4E25-9888-1C8E259C271E}"/>
            </a:ext>
          </a:extLst>
        </xdr:cNvPr>
        <xdr:cNvSpPr txBox="1"/>
      </xdr:nvSpPr>
      <xdr:spPr>
        <a:xfrm>
          <a:off x="9800900" y="3347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11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FCCE32B-6DB0-48EB-963D-C7ED186A934C}"/>
            </a:ext>
          </a:extLst>
        </xdr:cNvPr>
        <xdr:cNvSpPr txBox="1"/>
      </xdr:nvSpPr>
      <xdr:spPr>
        <a:xfrm>
          <a:off x="7694816" y="5037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11</xdr:row>
      <xdr:rowOff>55684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C36A3A7-CE78-4E16-A65D-EFB114B4B6EB}"/>
            </a:ext>
          </a:extLst>
        </xdr:cNvPr>
        <xdr:cNvSpPr txBox="1"/>
      </xdr:nvSpPr>
      <xdr:spPr>
        <a:xfrm>
          <a:off x="7694816" y="5093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11</xdr:row>
      <xdr:rowOff>55684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F2F6AA3-D564-4795-9FCB-928606500047}"/>
            </a:ext>
          </a:extLst>
        </xdr:cNvPr>
        <xdr:cNvSpPr txBox="1"/>
      </xdr:nvSpPr>
      <xdr:spPr>
        <a:xfrm>
          <a:off x="10838066" y="5093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12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D306D54-0CF1-4483-A963-C1C8839D9D7F}"/>
            </a:ext>
          </a:extLst>
        </xdr:cNvPr>
        <xdr:cNvSpPr txBox="1"/>
      </xdr:nvSpPr>
      <xdr:spPr>
        <a:xfrm>
          <a:off x="7694816" y="547158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12</xdr:row>
      <xdr:rowOff>55684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31D5EF6-FC34-492D-9941-3549CF2220F9}"/>
            </a:ext>
          </a:extLst>
        </xdr:cNvPr>
        <xdr:cNvSpPr txBox="1"/>
      </xdr:nvSpPr>
      <xdr:spPr>
        <a:xfrm>
          <a:off x="7694816" y="55272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12</xdr:row>
      <xdr:rowOff>55684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0EBCA09-F525-4DB2-A634-C5E0DEF8114D}"/>
            </a:ext>
          </a:extLst>
        </xdr:cNvPr>
        <xdr:cNvSpPr txBox="1"/>
      </xdr:nvSpPr>
      <xdr:spPr>
        <a:xfrm>
          <a:off x="10838066" y="55272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1334233</xdr:colOff>
      <xdr:row>7</xdr:row>
      <xdr:rowOff>55684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66ABF9-BC6D-4114-B02C-0F4BC50A507A}"/>
            </a:ext>
          </a:extLst>
        </xdr:cNvPr>
        <xdr:cNvSpPr txBox="1"/>
      </xdr:nvSpPr>
      <xdr:spPr>
        <a:xfrm>
          <a:off x="7220683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62BEF96-82A0-4FE7-97ED-76C1E19BA973}"/>
            </a:ext>
          </a:extLst>
        </xdr:cNvPr>
        <xdr:cNvSpPr txBox="1"/>
      </xdr:nvSpPr>
      <xdr:spPr>
        <a:xfrm>
          <a:off x="7220683" y="455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37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842AAB2-F8B7-4642-9ACB-CA5C56BF652D}"/>
            </a:ext>
          </a:extLst>
        </xdr:cNvPr>
        <xdr:cNvSpPr txBox="1"/>
      </xdr:nvSpPr>
      <xdr:spPr>
        <a:xfrm>
          <a:off x="7220683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16866EB-500F-4D23-94E1-E4D85C6940F0}"/>
            </a:ext>
          </a:extLst>
        </xdr:cNvPr>
        <xdr:cNvSpPr txBox="1"/>
      </xdr:nvSpPr>
      <xdr:spPr>
        <a:xfrm>
          <a:off x="7220683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7</xdr:row>
      <xdr:rowOff>55684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1D80DBC-185F-4EB4-8310-60B4DE22A668}"/>
            </a:ext>
          </a:extLst>
        </xdr:cNvPr>
        <xdr:cNvSpPr txBox="1"/>
      </xdr:nvSpPr>
      <xdr:spPr>
        <a:xfrm>
          <a:off x="10078183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55684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F948893-7E47-4F51-B6F4-E96BAAED1C10}"/>
            </a:ext>
          </a:extLst>
        </xdr:cNvPr>
        <xdr:cNvSpPr txBox="1"/>
      </xdr:nvSpPr>
      <xdr:spPr>
        <a:xfrm>
          <a:off x="7220683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10</xdr:row>
      <xdr:rowOff>55684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A8C2852-0EF7-4DA1-9646-0119B38317E7}"/>
            </a:ext>
          </a:extLst>
        </xdr:cNvPr>
        <xdr:cNvSpPr txBox="1"/>
      </xdr:nvSpPr>
      <xdr:spPr>
        <a:xfrm>
          <a:off x="10078183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11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3646643-303C-4AC6-B733-D1C20CECA1E1}"/>
            </a:ext>
          </a:extLst>
        </xdr:cNvPr>
        <xdr:cNvSpPr txBox="1"/>
      </xdr:nvSpPr>
      <xdr:spPr>
        <a:xfrm>
          <a:off x="7220683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11</xdr:row>
      <xdr:rowOff>55684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9D86879-7241-4056-BD9C-532C3077E4B9}"/>
            </a:ext>
          </a:extLst>
        </xdr:cNvPr>
        <xdr:cNvSpPr txBox="1"/>
      </xdr:nvSpPr>
      <xdr:spPr>
        <a:xfrm>
          <a:off x="7220683" y="50372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11</xdr:row>
      <xdr:rowOff>55684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FC5F523-6148-4980-8953-7215F67BFA79}"/>
            </a:ext>
          </a:extLst>
        </xdr:cNvPr>
        <xdr:cNvSpPr txBox="1"/>
      </xdr:nvSpPr>
      <xdr:spPr>
        <a:xfrm>
          <a:off x="10078183" y="50372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32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CB7C2BF-15D5-4272-849B-220F2E91FA62}"/>
            </a:ext>
          </a:extLst>
        </xdr:cNvPr>
        <xdr:cNvSpPr txBox="1"/>
      </xdr:nvSpPr>
      <xdr:spPr>
        <a:xfrm>
          <a:off x="7220683" y="541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32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526C8F6-BD3C-4507-B777-330374197FD8}"/>
            </a:ext>
          </a:extLst>
        </xdr:cNvPr>
        <xdr:cNvSpPr txBox="1"/>
      </xdr:nvSpPr>
      <xdr:spPr>
        <a:xfrm>
          <a:off x="7220683" y="54658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1B2691D-1195-4AED-9FDC-1A1BD48E8613}"/>
            </a:ext>
          </a:extLst>
        </xdr:cNvPr>
        <xdr:cNvSpPr txBox="1"/>
      </xdr:nvSpPr>
      <xdr:spPr>
        <a:xfrm>
          <a:off x="10078183" y="54658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12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66DF9A7-AA8A-42D9-89CE-F483BA1FAD3E}"/>
            </a:ext>
          </a:extLst>
        </xdr:cNvPr>
        <xdr:cNvSpPr txBox="1"/>
      </xdr:nvSpPr>
      <xdr:spPr>
        <a:xfrm>
          <a:off x="7641900" y="1417108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12</xdr:row>
      <xdr:rowOff>55684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4E3E4D7-BE04-44CE-8C64-2203082C646F}"/>
            </a:ext>
          </a:extLst>
        </xdr:cNvPr>
        <xdr:cNvSpPr txBox="1"/>
      </xdr:nvSpPr>
      <xdr:spPr>
        <a:xfrm>
          <a:off x="7641900" y="14226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12</xdr:row>
      <xdr:rowOff>55684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7A009F9-710C-4990-B7E9-31CC2184EA4F}"/>
            </a:ext>
          </a:extLst>
        </xdr:cNvPr>
        <xdr:cNvSpPr txBox="1"/>
      </xdr:nvSpPr>
      <xdr:spPr>
        <a:xfrm>
          <a:off x="8593667" y="14226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13</xdr:row>
      <xdr:rowOff>55684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B261A3C-A43A-4935-B32C-7E86AF3A385B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14</xdr:row>
      <xdr:rowOff>55684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FE149BF-D8BF-4EB7-95C8-67048F64C200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15</xdr:row>
      <xdr:rowOff>55684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ECA5C21-BB83-43B3-A335-9A162B55A35F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16</xdr:row>
      <xdr:rowOff>55684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B5D9B38-0C72-4887-B961-34E8ABFAF786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17</xdr:row>
      <xdr:rowOff>55684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E1B807A-547E-445E-A90E-C26154F9C71E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18</xdr:row>
      <xdr:rowOff>55684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4BD19044-50B7-4406-953E-227D44431975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19</xdr:row>
      <xdr:rowOff>55684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4DC05F11-93E9-4A9A-B7E1-F824737E3C08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20</xdr:row>
      <xdr:rowOff>55684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17862C5-F3CC-49C5-B97B-93F59ECD1661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21</xdr:row>
      <xdr:rowOff>55684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2D141BB-F3C5-45E5-B1E4-9B1A916FBA44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22</xdr:row>
      <xdr:rowOff>55684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F776B0A-EE6E-4E5E-98C6-C5B505525E4C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23</xdr:row>
      <xdr:rowOff>55684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877E68B-50CA-4C64-9041-5D7C46584B33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24</xdr:row>
      <xdr:rowOff>55684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19320B6-8549-40F1-BCE7-F672E22FD9B4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25</xdr:row>
      <xdr:rowOff>55684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838DCE3-68C2-444B-B6D7-2D8D466CEB4A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26</xdr:row>
      <xdr:rowOff>55684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2444BF3-1AFA-4FC8-A7A3-47ADBDE61EA9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A444F91-12B4-4B6F-A783-FA86B82BF26F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97641FF-7F80-49A9-8B33-337818FDA3E2}"/>
            </a:ext>
          </a:extLst>
        </xdr:cNvPr>
        <xdr:cNvSpPr txBox="1"/>
      </xdr:nvSpPr>
      <xdr:spPr>
        <a:xfrm>
          <a:off x="8593667" y="138986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E9B15AAE-74DA-48A5-8BEF-166ABC989EAB}"/>
            </a:ext>
          </a:extLst>
        </xdr:cNvPr>
        <xdr:cNvSpPr txBox="1"/>
      </xdr:nvSpPr>
      <xdr:spPr>
        <a:xfrm>
          <a:off x="8593667" y="143326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22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001872B-F918-4BC7-B53B-2460FF601314}"/>
            </a:ext>
          </a:extLst>
        </xdr:cNvPr>
        <xdr:cNvSpPr txBox="1"/>
      </xdr:nvSpPr>
      <xdr:spPr>
        <a:xfrm>
          <a:off x="7641900" y="5926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22</xdr:row>
      <xdr:rowOff>55684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258ED934-E86A-4099-BCDA-DFCDEA12571F}"/>
            </a:ext>
          </a:extLst>
        </xdr:cNvPr>
        <xdr:cNvSpPr txBox="1"/>
      </xdr:nvSpPr>
      <xdr:spPr>
        <a:xfrm>
          <a:off x="7641900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27</xdr:row>
      <xdr:rowOff>55684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75A9BF41-C861-49F8-8B3D-F6BBECA57022}"/>
            </a:ext>
          </a:extLst>
        </xdr:cNvPr>
        <xdr:cNvSpPr txBox="1"/>
      </xdr:nvSpPr>
      <xdr:spPr>
        <a:xfrm>
          <a:off x="9546167" y="121630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28</xdr:row>
      <xdr:rowOff>55684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D12374A-1E3C-49DE-9463-F38C125B8B80}"/>
            </a:ext>
          </a:extLst>
        </xdr:cNvPr>
        <xdr:cNvSpPr txBox="1"/>
      </xdr:nvSpPr>
      <xdr:spPr>
        <a:xfrm>
          <a:off x="9546167" y="125969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29</xdr:row>
      <xdr:rowOff>55684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C27A24D-7DDC-4560-924D-948FC75B5BDC}"/>
            </a:ext>
          </a:extLst>
        </xdr:cNvPr>
        <xdr:cNvSpPr txBox="1"/>
      </xdr:nvSpPr>
      <xdr:spPr>
        <a:xfrm>
          <a:off x="9546167" y="13030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30</xdr:row>
      <xdr:rowOff>55684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EF194796-3C97-48FC-B4C9-74A56F06C7E6}"/>
            </a:ext>
          </a:extLst>
        </xdr:cNvPr>
        <xdr:cNvSpPr txBox="1"/>
      </xdr:nvSpPr>
      <xdr:spPr>
        <a:xfrm>
          <a:off x="9546167" y="13464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31</xdr:row>
      <xdr:rowOff>55684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4892E94A-4766-4F4D-8884-8F26409B4CBC}"/>
            </a:ext>
          </a:extLst>
        </xdr:cNvPr>
        <xdr:cNvSpPr txBox="1"/>
      </xdr:nvSpPr>
      <xdr:spPr>
        <a:xfrm>
          <a:off x="9546167" y="138986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AEBE0057-B361-443F-B6CD-9F619191172C}"/>
            </a:ext>
          </a:extLst>
        </xdr:cNvPr>
        <xdr:cNvSpPr txBox="1"/>
      </xdr:nvSpPr>
      <xdr:spPr>
        <a:xfrm>
          <a:off x="9546167" y="143326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17</xdr:row>
      <xdr:rowOff>55684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7A0F96F7-DF30-4A91-A47D-D15A89EB5AFD}"/>
            </a:ext>
          </a:extLst>
        </xdr:cNvPr>
        <xdr:cNvSpPr txBox="1"/>
      </xdr:nvSpPr>
      <xdr:spPr>
        <a:xfrm>
          <a:off x="7611208" y="981880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12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C7E94B8-C161-4646-BCEF-33E5B786D47E}"/>
            </a:ext>
          </a:extLst>
        </xdr:cNvPr>
        <xdr:cNvSpPr txBox="1"/>
      </xdr:nvSpPr>
      <xdr:spPr>
        <a:xfrm>
          <a:off x="7611208" y="665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12</xdr:row>
      <xdr:rowOff>55684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38D34266-B942-417F-A7DE-1AC770E1290B}"/>
            </a:ext>
          </a:extLst>
        </xdr:cNvPr>
        <xdr:cNvSpPr txBox="1"/>
      </xdr:nvSpPr>
      <xdr:spPr>
        <a:xfrm>
          <a:off x="7611208" y="67136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21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D518DEF4-DD20-4C3C-86CD-5B17AF02C68D}"/>
            </a:ext>
          </a:extLst>
        </xdr:cNvPr>
        <xdr:cNvSpPr txBox="1"/>
      </xdr:nvSpPr>
      <xdr:spPr>
        <a:xfrm>
          <a:off x="7611208" y="1163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21</xdr:row>
      <xdr:rowOff>55684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0A20B43-598F-427F-8225-C17BCF139AE3}"/>
            </a:ext>
          </a:extLst>
        </xdr:cNvPr>
        <xdr:cNvSpPr txBox="1"/>
      </xdr:nvSpPr>
      <xdr:spPr>
        <a:xfrm>
          <a:off x="7611208" y="116952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13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A7B23B5A-10A8-4B34-BEE5-F06598F23322}"/>
            </a:ext>
          </a:extLst>
        </xdr:cNvPr>
        <xdr:cNvSpPr txBox="1"/>
      </xdr:nvSpPr>
      <xdr:spPr>
        <a:xfrm>
          <a:off x="7611208" y="727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13</xdr:row>
      <xdr:rowOff>55684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58F228DB-FDA3-49AD-ADD8-D13AE44EB1A6}"/>
            </a:ext>
          </a:extLst>
        </xdr:cNvPr>
        <xdr:cNvSpPr txBox="1"/>
      </xdr:nvSpPr>
      <xdr:spPr>
        <a:xfrm>
          <a:off x="7611208" y="73327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20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0A11DE2-0BA9-49B8-B519-78674147DCCA}"/>
            </a:ext>
          </a:extLst>
        </xdr:cNvPr>
        <xdr:cNvSpPr txBox="1"/>
      </xdr:nvSpPr>
      <xdr:spPr>
        <a:xfrm>
          <a:off x="7611208" y="1122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20</xdr:row>
      <xdr:rowOff>55684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1542ABD5-9BB1-42CD-8F70-B506ABA4A91A}"/>
            </a:ext>
          </a:extLst>
        </xdr:cNvPr>
        <xdr:cNvSpPr txBox="1"/>
      </xdr:nvSpPr>
      <xdr:spPr>
        <a:xfrm>
          <a:off x="7611208" y="112761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9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32F12039-2D3A-4190-8D9A-942E5B49538D}"/>
            </a:ext>
          </a:extLst>
        </xdr:cNvPr>
        <xdr:cNvSpPr txBox="1"/>
      </xdr:nvSpPr>
      <xdr:spPr>
        <a:xfrm>
          <a:off x="7611208" y="480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9</xdr:row>
      <xdr:rowOff>55684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3A4DB7D2-ED1A-4874-8831-FD5A2AC769B3}"/>
            </a:ext>
          </a:extLst>
        </xdr:cNvPr>
        <xdr:cNvSpPr txBox="1"/>
      </xdr:nvSpPr>
      <xdr:spPr>
        <a:xfrm>
          <a:off x="7611208" y="48562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30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9E79A188-2036-4157-9CBA-D3FF770F58F1}"/>
            </a:ext>
          </a:extLst>
        </xdr:cNvPr>
        <xdr:cNvSpPr txBox="1"/>
      </xdr:nvSpPr>
      <xdr:spPr>
        <a:xfrm>
          <a:off x="7611208" y="1541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30</xdr:row>
      <xdr:rowOff>55684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5CD69EBA-A36B-4073-BB0B-9F8AF8B85596}"/>
            </a:ext>
          </a:extLst>
        </xdr:cNvPr>
        <xdr:cNvSpPr txBox="1"/>
      </xdr:nvSpPr>
      <xdr:spPr>
        <a:xfrm>
          <a:off x="7611208" y="154671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31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A1811A9B-DDE2-4AB1-A913-61F55F339D69}"/>
            </a:ext>
          </a:extLst>
        </xdr:cNvPr>
        <xdr:cNvSpPr txBox="1"/>
      </xdr:nvSpPr>
      <xdr:spPr>
        <a:xfrm>
          <a:off x="7611208" y="1583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31</xdr:row>
      <xdr:rowOff>55684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4AF8E0DF-DE39-4310-BB54-6D6C838DDBCE}"/>
            </a:ext>
          </a:extLst>
        </xdr:cNvPr>
        <xdr:cNvSpPr txBox="1"/>
      </xdr:nvSpPr>
      <xdr:spPr>
        <a:xfrm>
          <a:off x="7611208" y="158862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27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FC3203E3-0543-4655-B815-3A414E4DC863}"/>
            </a:ext>
          </a:extLst>
        </xdr:cNvPr>
        <xdr:cNvSpPr txBox="1"/>
      </xdr:nvSpPr>
      <xdr:spPr>
        <a:xfrm>
          <a:off x="7611208" y="1415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27</xdr:row>
      <xdr:rowOff>55684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FE2865FA-CF40-4E5B-867B-48F278A52098}"/>
            </a:ext>
          </a:extLst>
        </xdr:cNvPr>
        <xdr:cNvSpPr txBox="1"/>
      </xdr:nvSpPr>
      <xdr:spPr>
        <a:xfrm>
          <a:off x="7611208" y="142098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24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6ED651D8-46A9-4B08-BCBC-83E85A3442EA}"/>
            </a:ext>
          </a:extLst>
        </xdr:cNvPr>
        <xdr:cNvSpPr txBox="1"/>
      </xdr:nvSpPr>
      <xdr:spPr>
        <a:xfrm>
          <a:off x="7611208" y="1289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24</xdr:row>
      <xdr:rowOff>55684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88406554-3F4D-43D0-A4D5-8367B3BF10B0}"/>
            </a:ext>
          </a:extLst>
        </xdr:cNvPr>
        <xdr:cNvSpPr txBox="1"/>
      </xdr:nvSpPr>
      <xdr:spPr>
        <a:xfrm>
          <a:off x="7611208" y="129525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25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2376697D-EBD8-4AAE-8B60-4F5A8A80E997}"/>
            </a:ext>
          </a:extLst>
        </xdr:cNvPr>
        <xdr:cNvSpPr txBox="1"/>
      </xdr:nvSpPr>
      <xdr:spPr>
        <a:xfrm>
          <a:off x="7611208" y="1331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25</xdr:row>
      <xdr:rowOff>55684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8C4EA161-74B5-43AE-A9B0-7EC2A335A48A}"/>
            </a:ext>
          </a:extLst>
        </xdr:cNvPr>
        <xdr:cNvSpPr txBox="1"/>
      </xdr:nvSpPr>
      <xdr:spPr>
        <a:xfrm>
          <a:off x="7611208" y="13371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17</xdr:row>
      <xdr:rowOff>55684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BE901228-10A3-48D9-9747-0697AAACB920}"/>
            </a:ext>
          </a:extLst>
        </xdr:cNvPr>
        <xdr:cNvSpPr txBox="1"/>
      </xdr:nvSpPr>
      <xdr:spPr>
        <a:xfrm>
          <a:off x="7611208" y="981880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20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47DC3C15-0109-4DCD-9922-9B2BAB8689E2}"/>
            </a:ext>
          </a:extLst>
        </xdr:cNvPr>
        <xdr:cNvSpPr txBox="1"/>
      </xdr:nvSpPr>
      <xdr:spPr>
        <a:xfrm>
          <a:off x="7611208" y="1122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20</xdr:row>
      <xdr:rowOff>55684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82F6C554-BE9F-4E87-AB75-A73E23791D9A}"/>
            </a:ext>
          </a:extLst>
        </xdr:cNvPr>
        <xdr:cNvSpPr txBox="1"/>
      </xdr:nvSpPr>
      <xdr:spPr>
        <a:xfrm>
          <a:off x="7611208" y="112761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9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ED957099-0A2A-400E-AE18-2BE5552B448C}"/>
            </a:ext>
          </a:extLst>
        </xdr:cNvPr>
        <xdr:cNvSpPr txBox="1"/>
      </xdr:nvSpPr>
      <xdr:spPr>
        <a:xfrm>
          <a:off x="7611208" y="480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9</xdr:row>
      <xdr:rowOff>55684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8D2A5FC7-C7C9-469B-BB04-3095A0FFFED8}"/>
            </a:ext>
          </a:extLst>
        </xdr:cNvPr>
        <xdr:cNvSpPr txBox="1"/>
      </xdr:nvSpPr>
      <xdr:spPr>
        <a:xfrm>
          <a:off x="7611208" y="48562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14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EFE00A73-09C8-42D0-AA3F-066DD0983219}"/>
            </a:ext>
          </a:extLst>
        </xdr:cNvPr>
        <xdr:cNvSpPr txBox="1"/>
      </xdr:nvSpPr>
      <xdr:spPr>
        <a:xfrm>
          <a:off x="7611208" y="789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14</xdr:row>
      <xdr:rowOff>55684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FA432915-E904-46E6-B868-3ABC9EC8FE50}"/>
            </a:ext>
          </a:extLst>
        </xdr:cNvPr>
        <xdr:cNvSpPr txBox="1"/>
      </xdr:nvSpPr>
      <xdr:spPr>
        <a:xfrm>
          <a:off x="7611208" y="795190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25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473AA138-2AE6-4027-858D-8347FAA305E1}"/>
            </a:ext>
          </a:extLst>
        </xdr:cNvPr>
        <xdr:cNvSpPr txBox="1"/>
      </xdr:nvSpPr>
      <xdr:spPr>
        <a:xfrm>
          <a:off x="7611208" y="1331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25</xdr:row>
      <xdr:rowOff>55684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3A63201-550D-4F02-AE74-0B4E6013B243}"/>
            </a:ext>
          </a:extLst>
        </xdr:cNvPr>
        <xdr:cNvSpPr txBox="1"/>
      </xdr:nvSpPr>
      <xdr:spPr>
        <a:xfrm>
          <a:off x="7611208" y="13371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1334233</xdr:colOff>
      <xdr:row>7</xdr:row>
      <xdr:rowOff>55684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88000A-A428-4A1D-A895-3148FEED0667}"/>
            </a:ext>
          </a:extLst>
        </xdr:cNvPr>
        <xdr:cNvSpPr txBox="1"/>
      </xdr:nvSpPr>
      <xdr:spPr>
        <a:xfrm>
          <a:off x="7220683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CEFB275-A98F-400B-9659-F488A95CDC01}"/>
            </a:ext>
          </a:extLst>
        </xdr:cNvPr>
        <xdr:cNvSpPr txBox="1"/>
      </xdr:nvSpPr>
      <xdr:spPr>
        <a:xfrm>
          <a:off x="7220683" y="455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49D30A0-C1B8-4244-B835-17A9EFB64301}"/>
            </a:ext>
          </a:extLst>
        </xdr:cNvPr>
        <xdr:cNvSpPr txBox="1"/>
      </xdr:nvSpPr>
      <xdr:spPr>
        <a:xfrm>
          <a:off x="7220683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B1BA233-C1FC-4FE9-865A-A033636D4E73}"/>
            </a:ext>
          </a:extLst>
        </xdr:cNvPr>
        <xdr:cNvSpPr txBox="1"/>
      </xdr:nvSpPr>
      <xdr:spPr>
        <a:xfrm>
          <a:off x="7220683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7</xdr:row>
      <xdr:rowOff>55684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1AD933D-8B7B-40E1-9145-E3EA1AEE2DEC}"/>
            </a:ext>
          </a:extLst>
        </xdr:cNvPr>
        <xdr:cNvSpPr txBox="1"/>
      </xdr:nvSpPr>
      <xdr:spPr>
        <a:xfrm>
          <a:off x="10078183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55684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EF283B5-CD43-4E71-9D2D-5A37F2214D9B}"/>
            </a:ext>
          </a:extLst>
        </xdr:cNvPr>
        <xdr:cNvSpPr txBox="1"/>
      </xdr:nvSpPr>
      <xdr:spPr>
        <a:xfrm>
          <a:off x="7220683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10</xdr:row>
      <xdr:rowOff>55684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6D6688B-C922-4A49-B891-AD023FD0311E}"/>
            </a:ext>
          </a:extLst>
        </xdr:cNvPr>
        <xdr:cNvSpPr txBox="1"/>
      </xdr:nvSpPr>
      <xdr:spPr>
        <a:xfrm>
          <a:off x="10078183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11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02AE30B-DD71-4874-85F5-DB9C1FEC32CA}"/>
            </a:ext>
          </a:extLst>
        </xdr:cNvPr>
        <xdr:cNvSpPr txBox="1"/>
      </xdr:nvSpPr>
      <xdr:spPr>
        <a:xfrm>
          <a:off x="7220683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11</xdr:row>
      <xdr:rowOff>55684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26D2202-4042-49F3-83D2-C9119D90FDCC}"/>
            </a:ext>
          </a:extLst>
        </xdr:cNvPr>
        <xdr:cNvSpPr txBox="1"/>
      </xdr:nvSpPr>
      <xdr:spPr>
        <a:xfrm>
          <a:off x="7220683" y="50372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11</xdr:row>
      <xdr:rowOff>55684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AD6ED73-E73A-47B0-AF8B-C2DEC1CE50D5}"/>
            </a:ext>
          </a:extLst>
        </xdr:cNvPr>
        <xdr:cNvSpPr txBox="1"/>
      </xdr:nvSpPr>
      <xdr:spPr>
        <a:xfrm>
          <a:off x="10078183" y="50372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12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9C9BF7A-CD88-481C-BAEE-6D7040368491}"/>
            </a:ext>
          </a:extLst>
        </xdr:cNvPr>
        <xdr:cNvSpPr txBox="1"/>
      </xdr:nvSpPr>
      <xdr:spPr>
        <a:xfrm>
          <a:off x="7220683" y="541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12</xdr:row>
      <xdr:rowOff>55684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76F5644-1F8D-4210-B1D4-913B9EE0C6F5}"/>
            </a:ext>
          </a:extLst>
        </xdr:cNvPr>
        <xdr:cNvSpPr txBox="1"/>
      </xdr:nvSpPr>
      <xdr:spPr>
        <a:xfrm>
          <a:off x="7220683" y="54658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12</xdr:row>
      <xdr:rowOff>55684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0E8A119-D453-4B52-A19A-4C36821A5321}"/>
            </a:ext>
          </a:extLst>
        </xdr:cNvPr>
        <xdr:cNvSpPr txBox="1"/>
      </xdr:nvSpPr>
      <xdr:spPr>
        <a:xfrm>
          <a:off x="10078183" y="54658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7B5F0-C31E-488D-BD43-86A41EB473A6}">
  <sheetPr>
    <pageSetUpPr fitToPage="1"/>
  </sheetPr>
  <dimension ref="A1:AD33"/>
  <sheetViews>
    <sheetView zoomScaleNormal="100" zoomScaleSheetLayoutView="100" zoomScalePageLayoutView="80" workbookViewId="0"/>
  </sheetViews>
  <sheetFormatPr defaultRowHeight="15.75" x14ac:dyDescent="0.25"/>
  <cols>
    <col min="1" max="1" width="4.42578125" style="4" customWidth="1"/>
    <col min="2" max="18" width="9.140625" style="4" customWidth="1"/>
    <col min="19" max="20" width="9.140625" style="4"/>
    <col min="21" max="23" width="9.140625" style="4" customWidth="1"/>
    <col min="24" max="29" width="9.140625" style="4"/>
    <col min="30" max="30" width="4.5703125" style="4" customWidth="1"/>
    <col min="31" max="16384" width="9.140625" style="4"/>
  </cols>
  <sheetData>
    <row r="1" spans="1:30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0" x14ac:dyDescent="0.25">
      <c r="A2" s="11"/>
      <c r="B2" s="12"/>
      <c r="C2" s="12"/>
      <c r="D2" s="12"/>
      <c r="E2" s="12"/>
      <c r="F2" s="1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x14ac:dyDescent="0.25">
      <c r="A3" s="11"/>
      <c r="B3" s="1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x14ac:dyDescent="0.25">
      <c r="A4" s="11"/>
      <c r="B4" s="11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5"/>
      <c r="Q4" s="15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x14ac:dyDescent="0.25">
      <c r="A5" s="11"/>
      <c r="B5" s="11"/>
      <c r="C5" s="17"/>
      <c r="D5" s="17"/>
      <c r="E5" s="17"/>
      <c r="F5" s="17"/>
      <c r="G5" s="18"/>
      <c r="H5" s="18"/>
      <c r="I5" s="18"/>
      <c r="J5" s="19"/>
      <c r="K5" s="19"/>
      <c r="L5" s="19"/>
      <c r="M5" s="17"/>
      <c r="N5" s="17"/>
      <c r="O5" s="17"/>
      <c r="P5" s="17"/>
      <c r="Q5" s="1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s="6" customFormat="1" x14ac:dyDescent="0.25">
      <c r="A6" s="27"/>
      <c r="B6" s="27"/>
      <c r="C6" s="20"/>
      <c r="D6" s="21"/>
      <c r="E6" s="22"/>
      <c r="F6" s="20"/>
      <c r="G6" s="23"/>
      <c r="H6" s="23"/>
      <c r="I6" s="23"/>
      <c r="J6" s="23"/>
      <c r="K6" s="23"/>
      <c r="L6" s="23"/>
      <c r="M6" s="24"/>
      <c r="N6" s="24"/>
      <c r="O6" s="25"/>
      <c r="P6" s="26"/>
      <c r="Q6" s="26"/>
      <c r="R6" s="27"/>
      <c r="S6" s="27"/>
      <c r="T6" s="27"/>
      <c r="U6" s="28"/>
      <c r="V6" s="28"/>
      <c r="W6" s="28"/>
      <c r="X6" s="27"/>
      <c r="Y6" s="27"/>
      <c r="Z6" s="27"/>
      <c r="AA6" s="27"/>
      <c r="AB6" s="27"/>
      <c r="AC6" s="27"/>
      <c r="AD6" s="27"/>
    </row>
    <row r="7" spans="1:30" s="6" customFormat="1" x14ac:dyDescent="0.25">
      <c r="A7" s="27"/>
      <c r="B7" s="27"/>
      <c r="C7" s="20"/>
      <c r="D7" s="21"/>
      <c r="E7" s="22"/>
      <c r="F7" s="20"/>
      <c r="G7" s="23"/>
      <c r="H7" s="23"/>
      <c r="I7" s="23"/>
      <c r="J7" s="23"/>
      <c r="K7" s="23"/>
      <c r="L7" s="23"/>
      <c r="M7" s="24"/>
      <c r="N7" s="24"/>
      <c r="O7" s="25"/>
      <c r="P7" s="26"/>
      <c r="Q7" s="26"/>
      <c r="R7" s="27"/>
      <c r="S7" s="27"/>
      <c r="T7" s="27"/>
      <c r="U7" s="28"/>
      <c r="V7" s="28"/>
      <c r="W7" s="28"/>
      <c r="X7" s="27"/>
      <c r="Y7" s="27"/>
      <c r="Z7" s="27"/>
      <c r="AA7" s="27"/>
      <c r="AB7" s="27"/>
      <c r="AC7" s="27"/>
      <c r="AD7" s="27"/>
    </row>
    <row r="8" spans="1:30" s="6" customFormat="1" x14ac:dyDescent="0.25">
      <c r="A8" s="27"/>
      <c r="B8" s="27"/>
      <c r="C8" s="20"/>
      <c r="D8" s="21"/>
      <c r="E8" s="22"/>
      <c r="F8" s="20"/>
      <c r="G8" s="23"/>
      <c r="H8" s="23"/>
      <c r="I8" s="23"/>
      <c r="J8" s="23"/>
      <c r="K8" s="23"/>
      <c r="L8" s="23"/>
      <c r="M8" s="24"/>
      <c r="N8" s="24"/>
      <c r="O8" s="25"/>
      <c r="P8" s="26"/>
      <c r="Q8" s="26"/>
      <c r="R8" s="27"/>
      <c r="S8" s="27"/>
      <c r="T8" s="27"/>
      <c r="U8" s="28"/>
      <c r="V8" s="28"/>
      <c r="W8" s="28"/>
      <c r="X8" s="27"/>
      <c r="Y8" s="27"/>
      <c r="Z8" s="27"/>
      <c r="AA8" s="27"/>
      <c r="AB8" s="27"/>
      <c r="AC8" s="27"/>
      <c r="AD8" s="27"/>
    </row>
    <row r="9" spans="1:30" s="6" customFormat="1" x14ac:dyDescent="0.25">
      <c r="A9" s="27"/>
      <c r="B9" s="27"/>
      <c r="C9" s="20"/>
      <c r="D9" s="21"/>
      <c r="E9" s="22"/>
      <c r="F9" s="20"/>
      <c r="G9" s="23"/>
      <c r="H9" s="23"/>
      <c r="I9" s="23"/>
      <c r="J9" s="23"/>
      <c r="K9" s="23"/>
      <c r="L9" s="23"/>
      <c r="M9" s="24"/>
      <c r="N9" s="24"/>
      <c r="O9" s="25"/>
      <c r="P9" s="26"/>
      <c r="Q9" s="26"/>
      <c r="R9" s="27"/>
      <c r="S9" s="27"/>
      <c r="T9" s="27"/>
      <c r="U9" s="28"/>
      <c r="V9" s="28"/>
      <c r="W9" s="28"/>
      <c r="X9" s="27"/>
      <c r="Y9" s="27"/>
      <c r="Z9" s="27"/>
      <c r="AA9" s="27"/>
      <c r="AB9" s="27"/>
      <c r="AC9" s="27"/>
      <c r="AD9" s="27"/>
    </row>
    <row r="10" spans="1:30" s="6" customFormat="1" x14ac:dyDescent="0.25">
      <c r="A10" s="27"/>
      <c r="B10" s="27"/>
      <c r="C10" s="20"/>
      <c r="D10" s="21"/>
      <c r="E10" s="22"/>
      <c r="F10" s="20"/>
      <c r="G10" s="23"/>
      <c r="H10" s="23"/>
      <c r="I10" s="23"/>
      <c r="J10" s="23"/>
      <c r="K10" s="23"/>
      <c r="L10" s="23"/>
      <c r="M10" s="24"/>
      <c r="N10" s="24"/>
      <c r="O10" s="25"/>
      <c r="P10" s="26"/>
      <c r="Q10" s="26"/>
      <c r="R10" s="27"/>
      <c r="S10" s="27"/>
      <c r="T10" s="27"/>
      <c r="U10" s="28"/>
      <c r="V10" s="27"/>
      <c r="W10" s="27"/>
      <c r="X10" s="27"/>
      <c r="Y10" s="27"/>
      <c r="Z10" s="27"/>
      <c r="AA10" s="27"/>
      <c r="AB10" s="27"/>
      <c r="AC10" s="27"/>
      <c r="AD10" s="27"/>
    </row>
    <row r="11" spans="1:30" s="6" customFormat="1" x14ac:dyDescent="0.25">
      <c r="A11" s="27"/>
      <c r="B11" s="27"/>
      <c r="C11" s="20"/>
      <c r="D11" s="21"/>
      <c r="E11" s="22"/>
      <c r="F11" s="29"/>
      <c r="G11" s="23"/>
      <c r="H11" s="23"/>
      <c r="I11" s="23"/>
      <c r="J11" s="23"/>
      <c r="K11" s="23"/>
      <c r="L11" s="23"/>
      <c r="M11" s="24"/>
      <c r="N11" s="24"/>
      <c r="O11" s="25"/>
      <c r="P11" s="26"/>
      <c r="Q11" s="26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 spans="1:30" x14ac:dyDescent="0.25">
      <c r="A12" s="11"/>
      <c r="B12" s="11"/>
      <c r="C12" s="30"/>
      <c r="D12" s="31"/>
      <c r="E12" s="31"/>
      <c r="F12" s="32"/>
      <c r="G12" s="33"/>
      <c r="H12" s="31"/>
      <c r="I12" s="11"/>
      <c r="J12" s="11"/>
      <c r="K12" s="11"/>
      <c r="L12" s="11"/>
      <c r="M12" s="11"/>
      <c r="N12" s="11"/>
      <c r="O12" s="34"/>
      <c r="P12" s="34"/>
      <c r="Q12" s="35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0" x14ac:dyDescent="0.25">
      <c r="A13" s="11"/>
      <c r="B13" s="11"/>
      <c r="C13" s="36"/>
      <c r="D13" s="11"/>
      <c r="E13" s="11"/>
      <c r="F13" s="11"/>
      <c r="G13" s="37"/>
      <c r="H13" s="37"/>
      <c r="I13" s="37"/>
      <c r="J13" s="37"/>
      <c r="K13" s="37"/>
      <c r="L13" s="37"/>
      <c r="M13" s="11"/>
      <c r="N13" s="11"/>
      <c r="O13" s="38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x14ac:dyDescent="0.25">
      <c r="A14" s="11"/>
      <c r="B14" s="11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0" x14ac:dyDescent="0.25">
      <c r="A15" s="11"/>
      <c r="B15" s="11"/>
      <c r="C15" s="40"/>
      <c r="D15" s="40"/>
      <c r="E15" s="40"/>
      <c r="F15" s="40"/>
      <c r="G15" s="11"/>
      <c r="H15" s="11"/>
      <c r="I15" s="11"/>
      <c r="J15" s="11"/>
      <c r="K15" s="11"/>
      <c r="L15" s="11"/>
      <c r="M15" s="40"/>
      <c r="N15" s="40"/>
      <c r="O15" s="40"/>
      <c r="P15" s="40"/>
      <c r="Q15" s="40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pans="1:30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4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1:30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1:30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0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1:30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1:30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 spans="1:30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</row>
    <row r="24" spans="1:30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30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 spans="1:30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 spans="1:30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 spans="1:30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1:30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1:30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1:30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</sheetData>
  <printOptions horizontalCentered="1"/>
  <pageMargins left="0.11811023622047245" right="0.11811023622047245" top="0.35433070866141736" bottom="0" header="0" footer="0"/>
  <pageSetup paperSize="9" scale="54" orientation="landscape" r:id="rId1"/>
  <headerFooter>
    <oddHeader>&amp;RПриложение № 4 – 
&amp;"Times New Roman,обычный"&amp;12Форма расчета цены закупки методом сопоставимых рыночных цен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A9E8-81F5-487E-B02F-D8F3AE70CEF8}">
  <sheetPr>
    <pageSetUpPr fitToPage="1"/>
  </sheetPr>
  <dimension ref="A1:V43"/>
  <sheetViews>
    <sheetView tabSelected="1" zoomScale="90" zoomScaleNormal="90" zoomScaleSheetLayoutView="80" zoomScalePageLayoutView="80" workbookViewId="0">
      <selection activeCell="B41" sqref="B41:P41"/>
    </sheetView>
  </sheetViews>
  <sheetFormatPr defaultRowHeight="15.75" x14ac:dyDescent="0.25"/>
  <cols>
    <col min="1" max="1" width="3" style="4" customWidth="1"/>
    <col min="2" max="2" width="7.140625" style="4" customWidth="1"/>
    <col min="3" max="3" width="35.5703125" style="4" customWidth="1"/>
    <col min="4" max="4" width="14.28515625" style="4" customWidth="1"/>
    <col min="5" max="5" width="15.7109375" style="4" customWidth="1"/>
    <col min="6" max="6" width="9.85546875" style="4" customWidth="1"/>
    <col min="7" max="11" width="14.28515625" style="4" customWidth="1"/>
    <col min="12" max="14" width="20" style="4" customWidth="1"/>
    <col min="15" max="15" width="21" style="4" customWidth="1"/>
    <col min="16" max="16" width="21.28515625" style="4" customWidth="1"/>
    <col min="17" max="17" width="3" style="4" customWidth="1"/>
    <col min="18" max="19" width="9.140625" style="4"/>
    <col min="20" max="20" width="15.5703125" style="4" bestFit="1" customWidth="1"/>
    <col min="21" max="21" width="12.7109375" style="4" bestFit="1" customWidth="1"/>
    <col min="22" max="22" width="14.42578125" style="4" bestFit="1" customWidth="1"/>
    <col min="23" max="16384" width="9.140625" style="4"/>
  </cols>
  <sheetData>
    <row r="1" spans="1:22" ht="16.5" thickBot="1" x14ac:dyDescent="0.3">
      <c r="A1" s="44"/>
      <c r="B1" s="44"/>
      <c r="C1" s="44"/>
      <c r="D1" s="44"/>
      <c r="E1" s="44"/>
      <c r="F1" s="45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22" ht="54" customHeight="1" thickTop="1" thickBot="1" x14ac:dyDescent="0.3">
      <c r="A2" s="46"/>
      <c r="B2" s="72" t="s">
        <v>15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22" ht="45" customHeight="1" thickTop="1" thickBot="1" x14ac:dyDescent="0.3">
      <c r="A3" s="46"/>
      <c r="B3" s="64"/>
      <c r="C3" s="73" t="s">
        <v>12</v>
      </c>
      <c r="D3" s="73"/>
      <c r="E3" s="73"/>
      <c r="F3" s="74"/>
      <c r="G3" s="75" t="s">
        <v>120</v>
      </c>
      <c r="H3" s="75"/>
      <c r="I3" s="75"/>
      <c r="J3" s="75"/>
      <c r="K3" s="75"/>
      <c r="L3" s="76" t="s">
        <v>22</v>
      </c>
      <c r="M3" s="76"/>
      <c r="N3" s="76"/>
      <c r="O3" s="75" t="s">
        <v>23</v>
      </c>
      <c r="P3" s="75"/>
    </row>
    <row r="4" spans="1:22" ht="54" customHeight="1" thickTop="1" thickBot="1" x14ac:dyDescent="0.3">
      <c r="A4" s="46"/>
      <c r="B4" s="75" t="s">
        <v>3</v>
      </c>
      <c r="C4" s="75" t="s">
        <v>11</v>
      </c>
      <c r="D4" s="75" t="s">
        <v>17</v>
      </c>
      <c r="E4" s="75" t="s">
        <v>0</v>
      </c>
      <c r="F4" s="75" t="s">
        <v>25</v>
      </c>
      <c r="G4" s="65" t="s">
        <v>121</v>
      </c>
      <c r="H4" s="65" t="s">
        <v>122</v>
      </c>
      <c r="I4" s="65" t="s">
        <v>123</v>
      </c>
      <c r="J4" s="65" t="s">
        <v>124</v>
      </c>
      <c r="K4" s="65" t="s">
        <v>125</v>
      </c>
      <c r="L4" s="75" t="s">
        <v>27</v>
      </c>
      <c r="M4" s="75" t="s">
        <v>26</v>
      </c>
      <c r="N4" s="75" t="s">
        <v>126</v>
      </c>
      <c r="O4" s="77" t="s">
        <v>127</v>
      </c>
      <c r="P4" s="75" t="s">
        <v>128</v>
      </c>
    </row>
    <row r="5" spans="1:22" s="6" customFormat="1" ht="33.75" customHeight="1" thickTop="1" thickBot="1" x14ac:dyDescent="0.3">
      <c r="A5" s="47"/>
      <c r="B5" s="75"/>
      <c r="C5" s="75"/>
      <c r="D5" s="75"/>
      <c r="E5" s="75"/>
      <c r="F5" s="75"/>
      <c r="G5" s="66">
        <f>SUM(G6:G36)</f>
        <v>94700</v>
      </c>
      <c r="H5" s="66">
        <f>SUM(H6:H36)</f>
        <v>132620</v>
      </c>
      <c r="I5" s="66">
        <f>SUM(I6:I36)</f>
        <v>136697</v>
      </c>
      <c r="J5" s="66">
        <f>SUM(J6:J36)</f>
        <v>155478</v>
      </c>
      <c r="K5" s="66">
        <f>SUM(K6:K36)</f>
        <v>180005</v>
      </c>
      <c r="L5" s="75"/>
      <c r="M5" s="75"/>
      <c r="N5" s="75"/>
      <c r="O5" s="75"/>
      <c r="P5" s="75"/>
      <c r="T5" s="10"/>
      <c r="U5" s="10"/>
      <c r="V5" s="10"/>
    </row>
    <row r="6" spans="1:22" s="6" customFormat="1" ht="96" thickTop="1" thickBot="1" x14ac:dyDescent="0.3">
      <c r="A6" s="47"/>
      <c r="B6" s="48">
        <v>1</v>
      </c>
      <c r="C6" s="49" t="s">
        <v>76</v>
      </c>
      <c r="D6" s="48" t="s">
        <v>47</v>
      </c>
      <c r="E6" s="63">
        <v>1</v>
      </c>
      <c r="F6" s="48" t="s">
        <v>1</v>
      </c>
      <c r="G6" s="50"/>
      <c r="H6" s="50"/>
      <c r="I6" s="50"/>
      <c r="J6" s="50"/>
      <c r="K6" s="50"/>
      <c r="L6" s="66"/>
      <c r="M6" s="66"/>
      <c r="N6" s="67"/>
      <c r="O6" s="66"/>
      <c r="P6" s="66"/>
      <c r="T6" s="10"/>
      <c r="U6" s="10"/>
      <c r="V6" s="10"/>
    </row>
    <row r="7" spans="1:22" s="6" customFormat="1" ht="17.25" thickTop="1" thickBot="1" x14ac:dyDescent="0.3">
      <c r="A7" s="47"/>
      <c r="B7" s="70" t="s">
        <v>78</v>
      </c>
      <c r="C7" s="49" t="s">
        <v>88</v>
      </c>
      <c r="D7" s="48" t="s">
        <v>47</v>
      </c>
      <c r="E7" s="63">
        <v>1</v>
      </c>
      <c r="F7" s="48" t="s">
        <v>77</v>
      </c>
      <c r="G7" s="50">
        <v>2450</v>
      </c>
      <c r="H7" s="50">
        <v>3250</v>
      </c>
      <c r="I7" s="50">
        <v>3201</v>
      </c>
      <c r="J7" s="50">
        <v>4201</v>
      </c>
      <c r="K7" s="50">
        <v>4354</v>
      </c>
      <c r="L7" s="66">
        <f>ROUND(AVERAGE('Расчет 1 - НМЦед'!$G7:$K7),2)</f>
        <v>3491.2</v>
      </c>
      <c r="M7" s="66">
        <f>_xlfn.STDEV.S('Расчет 1 - НМЦед'!$G7:$K7)</f>
        <v>786.56385627614452</v>
      </c>
      <c r="N7" s="67">
        <f t="shared" ref="N7:N17" si="0">M7/L7</f>
        <v>0.22529899641273618</v>
      </c>
      <c r="O7" s="66">
        <f t="shared" ref="O7:O36" si="1">INDEX(G7:K7,MATCH(MIN($G$5:$K$5),$G$5:$K$5,0))</f>
        <v>2450</v>
      </c>
      <c r="P7" s="66">
        <f t="shared" ref="P7:P17" si="2">L7</f>
        <v>3491.2</v>
      </c>
      <c r="T7" s="10"/>
    </row>
    <row r="8" spans="1:22" s="6" customFormat="1" ht="17.25" thickTop="1" thickBot="1" x14ac:dyDescent="0.3">
      <c r="A8" s="47"/>
      <c r="B8" s="48"/>
      <c r="C8" s="49" t="s">
        <v>90</v>
      </c>
      <c r="D8" s="48" t="s">
        <v>47</v>
      </c>
      <c r="E8" s="63">
        <v>1</v>
      </c>
      <c r="F8" s="48" t="s">
        <v>77</v>
      </c>
      <c r="G8" s="50">
        <v>2550</v>
      </c>
      <c r="H8" s="50">
        <v>3330</v>
      </c>
      <c r="I8" s="50">
        <v>3300</v>
      </c>
      <c r="J8" s="50">
        <v>4284</v>
      </c>
      <c r="K8" s="50">
        <v>4652</v>
      </c>
      <c r="L8" s="66">
        <f>ROUND(AVERAGE('Расчет 1 - НМЦед'!$G8:$K8),2)</f>
        <v>3623.2</v>
      </c>
      <c r="M8" s="66">
        <f>_xlfn.STDEV.S('Расчет 1 - НМЦед'!$G8:$K8)</f>
        <v>842.20971260132069</v>
      </c>
      <c r="N8" s="67">
        <f t="shared" si="0"/>
        <v>0.23244913684072663</v>
      </c>
      <c r="O8" s="66">
        <f t="shared" si="1"/>
        <v>2550</v>
      </c>
      <c r="P8" s="66">
        <f t="shared" si="2"/>
        <v>3623.2</v>
      </c>
      <c r="T8" s="10"/>
      <c r="U8" s="10"/>
      <c r="V8" s="10"/>
    </row>
    <row r="9" spans="1:22" s="6" customFormat="1" ht="17.25" thickTop="1" thickBot="1" x14ac:dyDescent="0.3">
      <c r="A9" s="47"/>
      <c r="B9" s="70"/>
      <c r="C9" s="49" t="s">
        <v>89</v>
      </c>
      <c r="D9" s="48" t="s">
        <v>47</v>
      </c>
      <c r="E9" s="63">
        <v>1</v>
      </c>
      <c r="F9" s="48" t="s">
        <v>77</v>
      </c>
      <c r="G9" s="50">
        <v>4050</v>
      </c>
      <c r="H9" s="50">
        <v>4860</v>
      </c>
      <c r="I9" s="50">
        <v>5027</v>
      </c>
      <c r="J9" s="50">
        <v>6754</v>
      </c>
      <c r="K9" s="50">
        <v>8200</v>
      </c>
      <c r="L9" s="66">
        <f>ROUND(AVERAGE('Расчет 1 - НМЦед'!$G9:$K9),2)</f>
        <v>5778.2</v>
      </c>
      <c r="M9" s="66">
        <f>_xlfn.STDEV.S('Расчет 1 - НМЦед'!$G9:$K9)</f>
        <v>1674.169107348479</v>
      </c>
      <c r="N9" s="67">
        <f>M9/L9</f>
        <v>0.28973886458559395</v>
      </c>
      <c r="O9" s="66">
        <f t="shared" si="1"/>
        <v>4050</v>
      </c>
      <c r="P9" s="66">
        <f>L9</f>
        <v>5778.2</v>
      </c>
      <c r="T9" s="10"/>
      <c r="U9" s="10"/>
      <c r="V9" s="10"/>
    </row>
    <row r="10" spans="1:22" s="6" customFormat="1" ht="17.25" thickTop="1" thickBot="1" x14ac:dyDescent="0.3">
      <c r="A10" s="47"/>
      <c r="B10" s="48"/>
      <c r="C10" s="49" t="s">
        <v>91</v>
      </c>
      <c r="D10" s="48" t="s">
        <v>47</v>
      </c>
      <c r="E10" s="63">
        <v>1</v>
      </c>
      <c r="F10" s="48" t="s">
        <v>77</v>
      </c>
      <c r="G10" s="50">
        <v>4900</v>
      </c>
      <c r="H10" s="50">
        <v>5940</v>
      </c>
      <c r="I10" s="50">
        <v>6061</v>
      </c>
      <c r="J10" s="50">
        <v>8837</v>
      </c>
      <c r="K10" s="50">
        <v>10967</v>
      </c>
      <c r="L10" s="66">
        <f>ROUND(AVERAGE('Расчет 1 - НМЦед'!$G10:$K10),2)</f>
        <v>7341</v>
      </c>
      <c r="M10" s="66">
        <f>_xlfn.STDEV.S('Расчет 1 - НМЦед'!$G10:$K10)</f>
        <v>2497.277217290864</v>
      </c>
      <c r="N10" s="67">
        <f t="shared" si="0"/>
        <v>0.34018215737513474</v>
      </c>
      <c r="O10" s="66">
        <f t="shared" si="1"/>
        <v>4900</v>
      </c>
      <c r="P10" s="66">
        <f t="shared" si="2"/>
        <v>7341</v>
      </c>
    </row>
    <row r="11" spans="1:22" s="6" customFormat="1" ht="17.25" thickTop="1" thickBot="1" x14ac:dyDescent="0.3">
      <c r="A11" s="47"/>
      <c r="B11" s="70" t="s">
        <v>79</v>
      </c>
      <c r="C11" s="49" t="s">
        <v>92</v>
      </c>
      <c r="D11" s="48" t="s">
        <v>47</v>
      </c>
      <c r="E11" s="63">
        <v>1</v>
      </c>
      <c r="F11" s="48" t="s">
        <v>77</v>
      </c>
      <c r="G11" s="50">
        <v>2400</v>
      </c>
      <c r="H11" s="50">
        <v>3250</v>
      </c>
      <c r="I11" s="50">
        <v>3289</v>
      </c>
      <c r="J11" s="50">
        <v>4204</v>
      </c>
      <c r="K11" s="50">
        <v>4185</v>
      </c>
      <c r="L11" s="66">
        <f>ROUND(AVERAGE('Расчет 1 - НМЦед'!$G11:$K11),2)</f>
        <v>3465.6</v>
      </c>
      <c r="M11" s="66">
        <f>_xlfn.STDEV.S('Расчет 1 - НМЦед'!$G11:$K11)</f>
        <v>754.31180555523633</v>
      </c>
      <c r="N11" s="67">
        <f t="shared" si="0"/>
        <v>0.21765691526870856</v>
      </c>
      <c r="O11" s="66">
        <f t="shared" si="1"/>
        <v>2400</v>
      </c>
      <c r="P11" s="66">
        <f t="shared" si="2"/>
        <v>3465.6</v>
      </c>
      <c r="T11" s="10"/>
    </row>
    <row r="12" spans="1:22" s="6" customFormat="1" ht="17.25" thickTop="1" thickBot="1" x14ac:dyDescent="0.3">
      <c r="A12" s="47"/>
      <c r="B12" s="48"/>
      <c r="C12" s="49" t="s">
        <v>100</v>
      </c>
      <c r="D12" s="48" t="s">
        <v>47</v>
      </c>
      <c r="E12" s="63">
        <v>1</v>
      </c>
      <c r="F12" s="48" t="s">
        <v>77</v>
      </c>
      <c r="G12" s="50">
        <v>2500</v>
      </c>
      <c r="H12" s="50">
        <v>3330</v>
      </c>
      <c r="I12" s="50">
        <v>3388</v>
      </c>
      <c r="J12" s="50">
        <v>4287</v>
      </c>
      <c r="K12" s="50">
        <v>4483</v>
      </c>
      <c r="L12" s="66">
        <f>ROUND(AVERAGE('Расчет 1 - НМЦед'!$G12:$K12),2)</f>
        <v>3597.6</v>
      </c>
      <c r="M12" s="66">
        <f>_xlfn.STDEV.S('Расчет 1 - НМЦед'!$G12:$K12)</f>
        <v>803.036923185977</v>
      </c>
      <c r="N12" s="67">
        <f>M12/L12</f>
        <v>0.22321462174393403</v>
      </c>
      <c r="O12" s="66">
        <f t="shared" si="1"/>
        <v>2500</v>
      </c>
      <c r="P12" s="66">
        <f>L12</f>
        <v>3597.6</v>
      </c>
    </row>
    <row r="13" spans="1:22" s="6" customFormat="1" ht="17.25" thickTop="1" thickBot="1" x14ac:dyDescent="0.3">
      <c r="A13" s="47"/>
      <c r="B13" s="48"/>
      <c r="C13" s="49" t="s">
        <v>103</v>
      </c>
      <c r="D13" s="48" t="s">
        <v>47</v>
      </c>
      <c r="E13" s="63">
        <v>1</v>
      </c>
      <c r="F13" s="48" t="s">
        <v>77</v>
      </c>
      <c r="G13" s="50">
        <v>4000</v>
      </c>
      <c r="H13" s="50">
        <v>4860</v>
      </c>
      <c r="I13" s="50">
        <v>5115</v>
      </c>
      <c r="J13" s="50"/>
      <c r="K13" s="50">
        <v>8031</v>
      </c>
      <c r="L13" s="66">
        <f>ROUND(AVERAGE('Расчет 1 - НМЦед'!$G13:$K13),2)</f>
        <v>5501.5</v>
      </c>
      <c r="M13" s="66">
        <f>_xlfn.STDEV.S('Расчет 1 - НМЦед'!$G13:$K13)</f>
        <v>1752.5007845932623</v>
      </c>
      <c r="N13" s="67">
        <f t="shared" si="0"/>
        <v>0.31854962911810641</v>
      </c>
      <c r="O13" s="66">
        <f t="shared" si="1"/>
        <v>4000</v>
      </c>
      <c r="P13" s="66">
        <f t="shared" si="2"/>
        <v>5501.5</v>
      </c>
      <c r="T13" s="10"/>
    </row>
    <row r="14" spans="1:22" s="6" customFormat="1" ht="17.25" thickTop="1" thickBot="1" x14ac:dyDescent="0.3">
      <c r="A14" s="47"/>
      <c r="B14" s="48"/>
      <c r="C14" s="49" t="s">
        <v>104</v>
      </c>
      <c r="D14" s="48" t="s">
        <v>47</v>
      </c>
      <c r="E14" s="63">
        <v>1</v>
      </c>
      <c r="F14" s="48" t="s">
        <v>77</v>
      </c>
      <c r="G14" s="50">
        <v>4850</v>
      </c>
      <c r="H14" s="50">
        <v>5940</v>
      </c>
      <c r="I14" s="50">
        <v>6149</v>
      </c>
      <c r="J14" s="50"/>
      <c r="K14" s="50">
        <v>10798</v>
      </c>
      <c r="L14" s="66">
        <f>ROUND(AVERAGE('Расчет 1 - НМЦед'!$G14:$K14),2)</f>
        <v>6934.25</v>
      </c>
      <c r="M14" s="66">
        <f>_xlfn.STDEV.S('Расчет 1 - НМЦед'!$G14:$K14)</f>
        <v>2638.0430088735602</v>
      </c>
      <c r="N14" s="67">
        <f t="shared" si="0"/>
        <v>0.38043667431568812</v>
      </c>
      <c r="O14" s="66">
        <f t="shared" si="1"/>
        <v>4850</v>
      </c>
      <c r="P14" s="66">
        <f t="shared" si="2"/>
        <v>6934.25</v>
      </c>
    </row>
    <row r="15" spans="1:22" s="6" customFormat="1" ht="17.25" thickTop="1" thickBot="1" x14ac:dyDescent="0.3">
      <c r="A15" s="47"/>
      <c r="B15" s="70" t="s">
        <v>80</v>
      </c>
      <c r="C15" s="49" t="s">
        <v>93</v>
      </c>
      <c r="D15" s="48" t="s">
        <v>47</v>
      </c>
      <c r="E15" s="63">
        <v>1</v>
      </c>
      <c r="F15" s="48" t="s">
        <v>77</v>
      </c>
      <c r="G15" s="50">
        <v>2800</v>
      </c>
      <c r="H15" s="50">
        <v>3730</v>
      </c>
      <c r="I15" s="50">
        <v>3762</v>
      </c>
      <c r="J15" s="50">
        <v>5257</v>
      </c>
      <c r="K15" s="50">
        <v>4661</v>
      </c>
      <c r="L15" s="66">
        <f>ROUND(AVERAGE('Расчет 1 - НМЦед'!$G15:$K15),2)</f>
        <v>4042</v>
      </c>
      <c r="M15" s="66">
        <f>_xlfn.STDEV.S('Расчет 1 - НМЦед'!$G15:$K15)</f>
        <v>945.73965762254045</v>
      </c>
      <c r="N15" s="67">
        <f t="shared" si="0"/>
        <v>0.23397814389474034</v>
      </c>
      <c r="O15" s="66">
        <f t="shared" si="1"/>
        <v>2800</v>
      </c>
      <c r="P15" s="66">
        <f t="shared" si="2"/>
        <v>4042</v>
      </c>
      <c r="T15" s="10"/>
      <c r="U15" s="10"/>
      <c r="V15" s="10"/>
    </row>
    <row r="16" spans="1:22" s="6" customFormat="1" ht="17.25" thickTop="1" thickBot="1" x14ac:dyDescent="0.3">
      <c r="A16" s="47"/>
      <c r="B16" s="48"/>
      <c r="C16" s="49" t="s">
        <v>101</v>
      </c>
      <c r="D16" s="48" t="s">
        <v>47</v>
      </c>
      <c r="E16" s="63">
        <v>1</v>
      </c>
      <c r="F16" s="48" t="s">
        <v>77</v>
      </c>
      <c r="G16" s="50">
        <v>2900</v>
      </c>
      <c r="H16" s="50">
        <v>3810</v>
      </c>
      <c r="I16" s="50">
        <v>3861</v>
      </c>
      <c r="J16" s="50">
        <v>5340</v>
      </c>
      <c r="K16" s="50">
        <v>4959</v>
      </c>
      <c r="L16" s="66">
        <f>ROUND(AVERAGE('Расчет 1 - НМЦед'!$G16:$K16),2)</f>
        <v>4174</v>
      </c>
      <c r="M16" s="66">
        <f>_xlfn.STDEV.S('Расчет 1 - НМЦед'!$G16:$K16)</f>
        <v>978.43267525159854</v>
      </c>
      <c r="N16" s="67">
        <f>M16/L16</f>
        <v>0.23441127821073277</v>
      </c>
      <c r="O16" s="66">
        <f t="shared" si="1"/>
        <v>2900</v>
      </c>
      <c r="P16" s="66">
        <f>L16</f>
        <v>4174</v>
      </c>
      <c r="T16" s="10"/>
      <c r="U16" s="10"/>
      <c r="V16" s="10"/>
    </row>
    <row r="17" spans="1:22" s="6" customFormat="1" ht="33.75" customHeight="1" thickTop="1" thickBot="1" x14ac:dyDescent="0.3">
      <c r="A17" s="47"/>
      <c r="B17" s="48"/>
      <c r="C17" s="49" t="s">
        <v>111</v>
      </c>
      <c r="D17" s="48" t="s">
        <v>47</v>
      </c>
      <c r="E17" s="63">
        <v>1</v>
      </c>
      <c r="F17" s="48" t="s">
        <v>77</v>
      </c>
      <c r="G17" s="50">
        <v>4350</v>
      </c>
      <c r="H17" s="50">
        <v>4340</v>
      </c>
      <c r="I17" s="50">
        <v>5588</v>
      </c>
      <c r="J17" s="50">
        <v>7810</v>
      </c>
      <c r="K17" s="50">
        <v>8507</v>
      </c>
      <c r="L17" s="66">
        <f>ROUND(AVERAGE('Расчет 1 - НМЦед'!$G17:$K17),2)</f>
        <v>6119</v>
      </c>
      <c r="M17" s="66">
        <f>_xlfn.STDEV.S('Расчет 1 - НМЦед'!$G17:$K17)</f>
        <v>1945.3912202947765</v>
      </c>
      <c r="N17" s="67">
        <f t="shared" si="0"/>
        <v>0.31792633114802687</v>
      </c>
      <c r="O17" s="66">
        <f t="shared" si="1"/>
        <v>4350</v>
      </c>
      <c r="P17" s="66">
        <f t="shared" si="2"/>
        <v>6119</v>
      </c>
      <c r="T17" s="10"/>
      <c r="U17" s="10"/>
      <c r="V17" s="10"/>
    </row>
    <row r="18" spans="1:22" s="6" customFormat="1" ht="17.25" thickTop="1" thickBot="1" x14ac:dyDescent="0.3">
      <c r="A18" s="47"/>
      <c r="B18" s="48"/>
      <c r="C18" s="49" t="s">
        <v>110</v>
      </c>
      <c r="D18" s="48" t="s">
        <v>47</v>
      </c>
      <c r="E18" s="63">
        <v>1</v>
      </c>
      <c r="F18" s="48" t="s">
        <v>77</v>
      </c>
      <c r="G18" s="50">
        <v>5200</v>
      </c>
      <c r="H18" s="50">
        <v>6420</v>
      </c>
      <c r="I18" s="50">
        <v>6622</v>
      </c>
      <c r="J18" s="50">
        <v>9893</v>
      </c>
      <c r="K18" s="50">
        <v>11274</v>
      </c>
      <c r="L18" s="66">
        <f>ROUND(AVERAGE('Расчет 1 - НМЦед'!$G18:$K18),2)</f>
        <v>7881.8</v>
      </c>
      <c r="M18" s="66">
        <f>_xlfn.STDEV.S('Расчет 1 - НМЦед'!$G18:$K18)</f>
        <v>2572.3507148132044</v>
      </c>
      <c r="N18" s="67">
        <f t="shared" ref="N18:N36" si="3">M18/L18</f>
        <v>0.32636589545702815</v>
      </c>
      <c r="O18" s="66">
        <f t="shared" si="1"/>
        <v>5200</v>
      </c>
      <c r="P18" s="66">
        <f t="shared" ref="P18:P36" si="4">L18</f>
        <v>7881.8</v>
      </c>
      <c r="T18" s="10"/>
      <c r="U18" s="10"/>
      <c r="V18" s="10"/>
    </row>
    <row r="19" spans="1:22" s="6" customFormat="1" ht="17.25" thickTop="1" thickBot="1" x14ac:dyDescent="0.3">
      <c r="A19" s="47"/>
      <c r="B19" s="70" t="s">
        <v>81</v>
      </c>
      <c r="C19" s="49" t="s">
        <v>94</v>
      </c>
      <c r="D19" s="48" t="s">
        <v>47</v>
      </c>
      <c r="E19" s="63">
        <v>1</v>
      </c>
      <c r="F19" s="48" t="s">
        <v>77</v>
      </c>
      <c r="G19" s="50">
        <v>2800</v>
      </c>
      <c r="H19" s="50">
        <v>3830</v>
      </c>
      <c r="I19" s="50">
        <v>3872</v>
      </c>
      <c r="J19" s="50">
        <v>5433</v>
      </c>
      <c r="K19" s="50">
        <v>4604</v>
      </c>
      <c r="L19" s="66">
        <f>ROUND(AVERAGE('Расчет 1 - НМЦед'!$G19:$K19),2)</f>
        <v>4107.8</v>
      </c>
      <c r="M19" s="66">
        <f>_xlfn.STDEV.S('Расчет 1 - НМЦед'!$G19:$K19)</f>
        <v>980.49538499678783</v>
      </c>
      <c r="N19" s="67">
        <f t="shared" si="3"/>
        <v>0.23869112055036462</v>
      </c>
      <c r="O19" s="66">
        <f t="shared" si="1"/>
        <v>2800</v>
      </c>
      <c r="P19" s="66">
        <f t="shared" si="4"/>
        <v>4107.8</v>
      </c>
      <c r="T19" s="10"/>
      <c r="U19" s="10"/>
      <c r="V19" s="10"/>
    </row>
    <row r="20" spans="1:22" s="6" customFormat="1" ht="17.25" thickTop="1" thickBot="1" x14ac:dyDescent="0.3">
      <c r="A20" s="47"/>
      <c r="B20" s="70"/>
      <c r="C20" s="49" t="s">
        <v>118</v>
      </c>
      <c r="D20" s="48" t="s">
        <v>47</v>
      </c>
      <c r="E20" s="63">
        <v>1</v>
      </c>
      <c r="F20" s="48" t="s">
        <v>77</v>
      </c>
      <c r="G20" s="50">
        <v>2800</v>
      </c>
      <c r="H20" s="50">
        <v>3910</v>
      </c>
      <c r="I20" s="50">
        <v>3971</v>
      </c>
      <c r="J20" s="50">
        <v>5516</v>
      </c>
      <c r="K20" s="50">
        <v>4902</v>
      </c>
      <c r="L20" s="66">
        <f>ROUND(AVERAGE('Расчет 1 - НМЦед'!$G20:$K20),2)</f>
        <v>4219.8</v>
      </c>
      <c r="M20" s="66">
        <f>_xlfn.STDEV.S('Расчет 1 - НМЦед'!$G20:$K20)</f>
        <v>1039.1391629613424</v>
      </c>
      <c r="N20" s="67">
        <f t="shared" ref="N20" si="5">M20/L20</f>
        <v>0.24625317857750187</v>
      </c>
      <c r="O20" s="66">
        <f t="shared" si="1"/>
        <v>2800</v>
      </c>
      <c r="P20" s="66">
        <f t="shared" ref="P20" si="6">L20</f>
        <v>4219.8</v>
      </c>
      <c r="T20" s="10"/>
      <c r="U20" s="10"/>
      <c r="V20" s="10"/>
    </row>
    <row r="21" spans="1:22" s="6" customFormat="1" ht="17.25" thickTop="1" thickBot="1" x14ac:dyDescent="0.3">
      <c r="A21" s="47"/>
      <c r="B21" s="48"/>
      <c r="C21" s="49" t="s">
        <v>112</v>
      </c>
      <c r="D21" s="48" t="s">
        <v>47</v>
      </c>
      <c r="E21" s="63">
        <v>1</v>
      </c>
      <c r="F21" s="48" t="s">
        <v>77</v>
      </c>
      <c r="G21" s="50"/>
      <c r="H21" s="50">
        <v>5440</v>
      </c>
      <c r="I21" s="50">
        <v>5698</v>
      </c>
      <c r="J21" s="50"/>
      <c r="K21" s="50">
        <v>8450</v>
      </c>
      <c r="L21" s="66">
        <f>ROUND(AVERAGE('Расчет 1 - НМЦед'!$G21:$K21),2)</f>
        <v>6529.33</v>
      </c>
      <c r="M21" s="66">
        <f>_xlfn.STDEV.S('Расчет 1 - НМЦед'!$G21:$K21)</f>
        <v>1668.3408924237683</v>
      </c>
      <c r="N21" s="67">
        <f t="shared" si="3"/>
        <v>0.25551486789973371</v>
      </c>
      <c r="O21" s="66">
        <f t="shared" si="1"/>
        <v>0</v>
      </c>
      <c r="P21" s="66">
        <f t="shared" si="4"/>
        <v>6529.33</v>
      </c>
      <c r="T21" s="10"/>
    </row>
    <row r="22" spans="1:22" s="6" customFormat="1" ht="17.25" thickTop="1" thickBot="1" x14ac:dyDescent="0.3">
      <c r="A22" s="47"/>
      <c r="B22" s="48"/>
      <c r="C22" s="49" t="s">
        <v>109</v>
      </c>
      <c r="D22" s="48" t="s">
        <v>47</v>
      </c>
      <c r="E22" s="63">
        <v>1</v>
      </c>
      <c r="F22" s="48" t="s">
        <v>77</v>
      </c>
      <c r="G22" s="50"/>
      <c r="H22" s="50">
        <v>6520</v>
      </c>
      <c r="I22" s="50">
        <v>6732</v>
      </c>
      <c r="J22" s="50"/>
      <c r="K22" s="50">
        <v>11217</v>
      </c>
      <c r="L22" s="66">
        <f>ROUND(AVERAGE('Расчет 1 - НМЦед'!$G22:$K22),2)</f>
        <v>8156.33</v>
      </c>
      <c r="M22" s="66">
        <f>_xlfn.STDEV.S('Расчет 1 - НМЦед'!$G22:$K22)</f>
        <v>2652.7337471622227</v>
      </c>
      <c r="N22" s="67">
        <f t="shared" si="3"/>
        <v>0.32523619656907243</v>
      </c>
      <c r="O22" s="66">
        <f t="shared" si="1"/>
        <v>0</v>
      </c>
      <c r="P22" s="66">
        <f t="shared" si="4"/>
        <v>8156.33</v>
      </c>
    </row>
    <row r="23" spans="1:22" s="6" customFormat="1" ht="17.25" thickTop="1" thickBot="1" x14ac:dyDescent="0.3">
      <c r="A23" s="47"/>
      <c r="B23" s="70" t="s">
        <v>82</v>
      </c>
      <c r="C23" s="49" t="s">
        <v>98</v>
      </c>
      <c r="D23" s="48" t="s">
        <v>47</v>
      </c>
      <c r="E23" s="63">
        <v>1</v>
      </c>
      <c r="F23" s="48" t="s">
        <v>77</v>
      </c>
      <c r="G23" s="50">
        <v>3150</v>
      </c>
      <c r="H23" s="50">
        <v>3700</v>
      </c>
      <c r="I23" s="50">
        <v>3729</v>
      </c>
      <c r="J23" s="50">
        <v>5642</v>
      </c>
      <c r="K23" s="50">
        <v>5073</v>
      </c>
      <c r="L23" s="66">
        <f>ROUND(AVERAGE('Расчет 1 - НМЦед'!$G23:$K23),2)</f>
        <v>4258.8</v>
      </c>
      <c r="M23" s="66">
        <f>_xlfn.STDEV.S('Расчет 1 - НМЦед'!$G23:$K23)</f>
        <v>1048.6356373879344</v>
      </c>
      <c r="N23" s="67">
        <f>M23/L23</f>
        <v>0.24622796031462721</v>
      </c>
      <c r="O23" s="66">
        <f>INDEX(G23:K23,MATCH(MIN($G$5:$K$5),$G$5:$K$5,0))</f>
        <v>3150</v>
      </c>
      <c r="P23" s="66">
        <f>L23</f>
        <v>4258.8</v>
      </c>
      <c r="T23" s="10"/>
      <c r="U23" s="10"/>
      <c r="V23" s="10"/>
    </row>
    <row r="24" spans="1:22" s="6" customFormat="1" ht="17.25" thickTop="1" thickBot="1" x14ac:dyDescent="0.3">
      <c r="A24" s="47"/>
      <c r="B24" s="48"/>
      <c r="C24" s="49" t="s">
        <v>106</v>
      </c>
      <c r="D24" s="48" t="s">
        <v>47</v>
      </c>
      <c r="E24" s="63">
        <v>1</v>
      </c>
      <c r="F24" s="48" t="s">
        <v>77</v>
      </c>
      <c r="G24" s="50">
        <v>3250</v>
      </c>
      <c r="H24" s="50">
        <v>3780</v>
      </c>
      <c r="I24" s="50">
        <v>3828</v>
      </c>
      <c r="J24" s="50">
        <v>5725</v>
      </c>
      <c r="K24" s="50">
        <v>5371</v>
      </c>
      <c r="L24" s="66">
        <f>ROUND(AVERAGE('Расчет 1 - НМЦед'!$G24:$K24),2)</f>
        <v>4390.8</v>
      </c>
      <c r="M24" s="66">
        <f>_xlfn.STDEV.S('Расчет 1 - НМЦед'!$G24:$K24)</f>
        <v>1087.672606991644</v>
      </c>
      <c r="N24" s="67">
        <f>M24/L24</f>
        <v>0.24771627197586862</v>
      </c>
      <c r="O24" s="66">
        <f>INDEX(G24:K24,MATCH(MIN($G$5:$K$5),$G$5:$K$5,0))</f>
        <v>3250</v>
      </c>
      <c r="P24" s="66">
        <f>L24</f>
        <v>4390.8</v>
      </c>
      <c r="T24" s="10"/>
    </row>
    <row r="25" spans="1:22" s="6" customFormat="1" ht="33" thickTop="1" thickBot="1" x14ac:dyDescent="0.3">
      <c r="A25" s="47"/>
      <c r="B25" s="70" t="s">
        <v>83</v>
      </c>
      <c r="C25" s="49" t="s">
        <v>95</v>
      </c>
      <c r="D25" s="48" t="s">
        <v>47</v>
      </c>
      <c r="E25" s="63">
        <v>1</v>
      </c>
      <c r="F25" s="48" t="s">
        <v>77</v>
      </c>
      <c r="G25" s="50">
        <v>3200</v>
      </c>
      <c r="H25" s="50">
        <v>4260</v>
      </c>
      <c r="I25" s="50">
        <v>4268</v>
      </c>
      <c r="J25" s="50">
        <v>5551</v>
      </c>
      <c r="K25" s="50">
        <v>5130</v>
      </c>
      <c r="L25" s="66">
        <f>ROUND(AVERAGE('Расчет 1 - НМЦед'!$G25:$K25),2)</f>
        <v>4481.8</v>
      </c>
      <c r="M25" s="66">
        <f>_xlfn.STDEV.S('Расчет 1 - НМЦед'!$G25:$K25)</f>
        <v>908.46970230162287</v>
      </c>
      <c r="N25" s="67">
        <f t="shared" ref="N25:N30" si="7">M25/L25</f>
        <v>0.20270197293534359</v>
      </c>
      <c r="O25" s="66">
        <f t="shared" si="1"/>
        <v>3200</v>
      </c>
      <c r="P25" s="66">
        <f t="shared" ref="P25:P30" si="8">L25</f>
        <v>4481.8</v>
      </c>
      <c r="T25" s="10"/>
      <c r="U25" s="10"/>
      <c r="V25" s="10"/>
    </row>
    <row r="26" spans="1:22" s="6" customFormat="1" ht="33" thickTop="1" thickBot="1" x14ac:dyDescent="0.3">
      <c r="A26" s="47"/>
      <c r="B26" s="48"/>
      <c r="C26" s="49" t="s">
        <v>102</v>
      </c>
      <c r="D26" s="48" t="s">
        <v>47</v>
      </c>
      <c r="E26" s="63">
        <v>1</v>
      </c>
      <c r="F26" s="48" t="s">
        <v>77</v>
      </c>
      <c r="G26" s="50">
        <v>3300</v>
      </c>
      <c r="H26" s="50">
        <v>4340</v>
      </c>
      <c r="I26" s="50">
        <v>4268</v>
      </c>
      <c r="J26" s="50">
        <v>5634</v>
      </c>
      <c r="K26" s="50">
        <v>5428</v>
      </c>
      <c r="L26" s="66">
        <f>ROUND(AVERAGE('Расчет 1 - НМЦед'!$G26:$K26),2)</f>
        <v>4594</v>
      </c>
      <c r="M26" s="66">
        <f>_xlfn.STDEV.S('Расчет 1 - НМЦед'!$G26:$K26)</f>
        <v>951.62807861054625</v>
      </c>
      <c r="N26" s="67">
        <f t="shared" si="7"/>
        <v>0.20714585951470316</v>
      </c>
      <c r="O26" s="66">
        <f t="shared" si="1"/>
        <v>3300</v>
      </c>
      <c r="P26" s="66">
        <f t="shared" si="8"/>
        <v>4594</v>
      </c>
      <c r="T26" s="10"/>
    </row>
    <row r="27" spans="1:22" s="6" customFormat="1" ht="33" thickTop="1" thickBot="1" x14ac:dyDescent="0.3">
      <c r="A27" s="47"/>
      <c r="B27" s="70" t="s">
        <v>84</v>
      </c>
      <c r="C27" s="49" t="s">
        <v>96</v>
      </c>
      <c r="D27" s="48" t="s">
        <v>47</v>
      </c>
      <c r="E27" s="63">
        <v>1</v>
      </c>
      <c r="F27" s="48" t="s">
        <v>77</v>
      </c>
      <c r="G27" s="50">
        <v>4150</v>
      </c>
      <c r="H27" s="50">
        <v>5760</v>
      </c>
      <c r="I27" s="50">
        <v>6193</v>
      </c>
      <c r="J27" s="50">
        <v>7651</v>
      </c>
      <c r="K27" s="50">
        <v>5130</v>
      </c>
      <c r="L27" s="66">
        <f>ROUND(AVERAGE('Расчет 1 - НМЦед'!$G27:$K27),2)</f>
        <v>5776.8</v>
      </c>
      <c r="M27" s="66">
        <f>_xlfn.STDEV.S('Расчет 1 - НМЦед'!$G27:$K27)</f>
        <v>1299.1303629736328</v>
      </c>
      <c r="N27" s="67">
        <f>M27/L27</f>
        <v>0.22488754379130882</v>
      </c>
      <c r="O27" s="66">
        <f t="shared" si="1"/>
        <v>4150</v>
      </c>
      <c r="P27" s="66">
        <f>L27</f>
        <v>5776.8</v>
      </c>
    </row>
    <row r="28" spans="1:22" s="6" customFormat="1" ht="33" thickTop="1" thickBot="1" x14ac:dyDescent="0.3">
      <c r="A28" s="47"/>
      <c r="B28" s="48"/>
      <c r="C28" s="49" t="s">
        <v>108</v>
      </c>
      <c r="D28" s="48" t="s">
        <v>47</v>
      </c>
      <c r="E28" s="63">
        <v>1</v>
      </c>
      <c r="F28" s="48" t="s">
        <v>77</v>
      </c>
      <c r="G28" s="50">
        <v>4250</v>
      </c>
      <c r="H28" s="50">
        <v>5840</v>
      </c>
      <c r="I28" s="50">
        <v>6193</v>
      </c>
      <c r="J28" s="50">
        <v>7734</v>
      </c>
      <c r="K28" s="50">
        <v>5428</v>
      </c>
      <c r="L28" s="66">
        <f>ROUND(AVERAGE('Расчет 1 - НМЦед'!$G28:$K28),2)</f>
        <v>5889</v>
      </c>
      <c r="M28" s="66">
        <f>_xlfn.STDEV.S('Расчет 1 - НМЦед'!$G28:$K28)</f>
        <v>1264.682173512381</v>
      </c>
      <c r="N28" s="67">
        <f t="shared" si="7"/>
        <v>0.21475329827005962</v>
      </c>
      <c r="O28" s="66">
        <f t="shared" si="1"/>
        <v>4250</v>
      </c>
      <c r="P28" s="66">
        <f t="shared" si="8"/>
        <v>5889</v>
      </c>
    </row>
    <row r="29" spans="1:22" s="6" customFormat="1" ht="33" thickTop="1" thickBot="1" x14ac:dyDescent="0.3">
      <c r="A29" s="47"/>
      <c r="B29" s="70" t="s">
        <v>85</v>
      </c>
      <c r="C29" s="49" t="s">
        <v>97</v>
      </c>
      <c r="D29" s="48" t="s">
        <v>47</v>
      </c>
      <c r="E29" s="63">
        <v>1</v>
      </c>
      <c r="F29" s="48" t="s">
        <v>77</v>
      </c>
      <c r="G29" s="50">
        <v>4200</v>
      </c>
      <c r="H29" s="50">
        <v>5760</v>
      </c>
      <c r="I29" s="50">
        <v>6193</v>
      </c>
      <c r="J29" s="50">
        <v>7651</v>
      </c>
      <c r="K29" s="50">
        <v>5130</v>
      </c>
      <c r="L29" s="66">
        <f>ROUND(AVERAGE('Расчет 1 - НМЦед'!$G29:$K29),2)</f>
        <v>5786.8</v>
      </c>
      <c r="M29" s="66">
        <f>_xlfn.STDEV.S('Расчет 1 - НМЦед'!$G29:$K29)</f>
        <v>1283.5769162773233</v>
      </c>
      <c r="N29" s="67">
        <f t="shared" si="7"/>
        <v>0.22181117651851168</v>
      </c>
      <c r="O29" s="66">
        <f t="shared" si="1"/>
        <v>4200</v>
      </c>
      <c r="P29" s="66">
        <f t="shared" si="8"/>
        <v>5786.8</v>
      </c>
      <c r="T29" s="10"/>
    </row>
    <row r="30" spans="1:22" s="6" customFormat="1" ht="33" thickTop="1" thickBot="1" x14ac:dyDescent="0.3">
      <c r="A30" s="47"/>
      <c r="B30" s="48"/>
      <c r="C30" s="49" t="s">
        <v>107</v>
      </c>
      <c r="D30" s="48" t="s">
        <v>47</v>
      </c>
      <c r="E30" s="63">
        <v>1</v>
      </c>
      <c r="F30" s="48" t="s">
        <v>77</v>
      </c>
      <c r="G30" s="50">
        <v>4300</v>
      </c>
      <c r="H30" s="50">
        <v>5840</v>
      </c>
      <c r="I30" s="50">
        <v>6193</v>
      </c>
      <c r="J30" s="50">
        <v>7734</v>
      </c>
      <c r="K30" s="50">
        <v>5428</v>
      </c>
      <c r="L30" s="66">
        <f>ROUND(AVERAGE('Расчет 1 - НМЦед'!$G30:$K30),2)</f>
        <v>5899</v>
      </c>
      <c r="M30" s="66">
        <f>_xlfn.STDEV.S('Расчет 1 - НМЦед'!$G30:$K30)</f>
        <v>1248.5775907007142</v>
      </c>
      <c r="N30" s="67">
        <f t="shared" si="7"/>
        <v>0.2116591948975613</v>
      </c>
      <c r="O30" s="66">
        <f t="shared" si="1"/>
        <v>4300</v>
      </c>
      <c r="P30" s="66">
        <f t="shared" si="8"/>
        <v>5899</v>
      </c>
    </row>
    <row r="31" spans="1:22" s="6" customFormat="1" ht="33" thickTop="1" thickBot="1" x14ac:dyDescent="0.3">
      <c r="A31" s="47"/>
      <c r="B31" s="70" t="s">
        <v>86</v>
      </c>
      <c r="C31" s="49" t="s">
        <v>116</v>
      </c>
      <c r="D31" s="48" t="s">
        <v>47</v>
      </c>
      <c r="E31" s="63">
        <v>1</v>
      </c>
      <c r="F31" s="48" t="s">
        <v>77</v>
      </c>
      <c r="G31" s="50">
        <v>4200</v>
      </c>
      <c r="H31" s="50">
        <v>5760</v>
      </c>
      <c r="I31" s="50">
        <v>6193</v>
      </c>
      <c r="J31" s="50">
        <v>7651</v>
      </c>
      <c r="K31" s="50">
        <v>5130</v>
      </c>
      <c r="L31" s="66">
        <f>ROUND(AVERAGE('Расчет 1 - НМЦед'!$G31:$K31),2)</f>
        <v>5786.8</v>
      </c>
      <c r="M31" s="66">
        <f>_xlfn.STDEV.S('Расчет 1 - НМЦед'!$G31:$K31)</f>
        <v>1283.5769162773233</v>
      </c>
      <c r="N31" s="67">
        <f t="shared" ref="N31:N32" si="9">M31/L31</f>
        <v>0.22181117651851168</v>
      </c>
      <c r="O31" s="66">
        <f t="shared" ref="O31:O32" si="10">INDEX(G31:K31,MATCH(MIN($G$5:$K$5),$G$5:$K$5,0))</f>
        <v>4200</v>
      </c>
      <c r="P31" s="66">
        <f t="shared" ref="P31:P32" si="11">L31</f>
        <v>5786.8</v>
      </c>
      <c r="T31" s="10"/>
    </row>
    <row r="32" spans="1:22" s="6" customFormat="1" ht="33" thickTop="1" thickBot="1" x14ac:dyDescent="0.3">
      <c r="A32" s="47"/>
      <c r="B32" s="48"/>
      <c r="C32" s="49" t="s">
        <v>117</v>
      </c>
      <c r="D32" s="48" t="s">
        <v>47</v>
      </c>
      <c r="E32" s="63">
        <v>1</v>
      </c>
      <c r="F32" s="48" t="s">
        <v>77</v>
      </c>
      <c r="G32" s="50">
        <v>4300</v>
      </c>
      <c r="H32" s="50">
        <v>5840</v>
      </c>
      <c r="I32" s="50">
        <v>6193</v>
      </c>
      <c r="J32" s="50">
        <v>7734</v>
      </c>
      <c r="K32" s="50">
        <v>5428</v>
      </c>
      <c r="L32" s="66">
        <f>ROUND(AVERAGE('Расчет 1 - НМЦед'!$G32:$K32),2)</f>
        <v>5899</v>
      </c>
      <c r="M32" s="66">
        <f>_xlfn.STDEV.S('Расчет 1 - НМЦед'!$G32:$K32)</f>
        <v>1248.5775907007142</v>
      </c>
      <c r="N32" s="67">
        <f t="shared" si="9"/>
        <v>0.2116591948975613</v>
      </c>
      <c r="O32" s="66">
        <f t="shared" si="10"/>
        <v>4300</v>
      </c>
      <c r="P32" s="66">
        <f t="shared" si="11"/>
        <v>5899</v>
      </c>
    </row>
    <row r="33" spans="1:20" s="6" customFormat="1" ht="17.25" thickTop="1" thickBot="1" x14ac:dyDescent="0.3">
      <c r="A33" s="47"/>
      <c r="B33" s="70" t="s">
        <v>87</v>
      </c>
      <c r="C33" s="49" t="s">
        <v>99</v>
      </c>
      <c r="D33" s="48" t="s">
        <v>47</v>
      </c>
      <c r="E33" s="63">
        <v>1</v>
      </c>
      <c r="F33" s="48" t="s">
        <v>77</v>
      </c>
      <c r="G33" s="50">
        <v>3050</v>
      </c>
      <c r="H33" s="50">
        <v>3650</v>
      </c>
      <c r="I33" s="50">
        <v>3855.5</v>
      </c>
      <c r="J33" s="50">
        <v>5674</v>
      </c>
      <c r="K33" s="50">
        <v>5073</v>
      </c>
      <c r="L33" s="66">
        <f>ROUND(AVERAGE('Расчет 1 - НМЦед'!$G33:$K33),2)</f>
        <v>4260.5</v>
      </c>
      <c r="M33" s="66">
        <f>_xlfn.STDEV.S('Расчет 1 - НМЦед'!$G33:$K33)</f>
        <v>1079.3729661243142</v>
      </c>
      <c r="N33" s="67">
        <f t="shared" si="3"/>
        <v>0.25334420047513534</v>
      </c>
      <c r="O33" s="66">
        <f t="shared" si="1"/>
        <v>3050</v>
      </c>
      <c r="P33" s="66">
        <f t="shared" si="4"/>
        <v>4260.5</v>
      </c>
    </row>
    <row r="34" spans="1:20" s="6" customFormat="1" ht="17.25" thickTop="1" thickBot="1" x14ac:dyDescent="0.3">
      <c r="A34" s="47"/>
      <c r="B34" s="48"/>
      <c r="C34" s="49" t="s">
        <v>105</v>
      </c>
      <c r="D34" s="48" t="s">
        <v>47</v>
      </c>
      <c r="E34" s="63">
        <v>1</v>
      </c>
      <c r="F34" s="48" t="s">
        <v>77</v>
      </c>
      <c r="G34" s="50">
        <v>3150</v>
      </c>
      <c r="H34" s="50">
        <v>3730</v>
      </c>
      <c r="I34" s="50">
        <v>3954.5</v>
      </c>
      <c r="J34" s="50">
        <v>5847</v>
      </c>
      <c r="K34" s="50">
        <v>5371</v>
      </c>
      <c r="L34" s="66">
        <f>ROUND(AVERAGE('Расчет 1 - НМЦед'!$G34:$K34),2)</f>
        <v>4410.5</v>
      </c>
      <c r="M34" s="66">
        <f>_xlfn.STDEV.S('Расчет 1 - НМЦед'!$G34:$K34)</f>
        <v>1145.2040211246203</v>
      </c>
      <c r="N34" s="67">
        <f t="shared" si="3"/>
        <v>0.25965401227176516</v>
      </c>
      <c r="O34" s="66">
        <f t="shared" si="1"/>
        <v>3150</v>
      </c>
      <c r="P34" s="66">
        <f t="shared" si="4"/>
        <v>4410.5</v>
      </c>
    </row>
    <row r="35" spans="1:20" s="6" customFormat="1" ht="33" thickTop="1" thickBot="1" x14ac:dyDescent="0.3">
      <c r="A35" s="47"/>
      <c r="B35" s="70" t="s">
        <v>113</v>
      </c>
      <c r="C35" s="49" t="s">
        <v>114</v>
      </c>
      <c r="D35" s="48" t="s">
        <v>47</v>
      </c>
      <c r="E35" s="63">
        <v>1</v>
      </c>
      <c r="F35" s="48" t="s">
        <v>77</v>
      </c>
      <c r="G35" s="50">
        <v>650</v>
      </c>
      <c r="H35" s="50"/>
      <c r="I35" s="50"/>
      <c r="J35" s="50">
        <v>400</v>
      </c>
      <c r="K35" s="50">
        <v>847</v>
      </c>
      <c r="L35" s="66">
        <f>ROUND(AVERAGE('Расчет 1 - НМЦед'!$G35:$K35),2)</f>
        <v>632.33000000000004</v>
      </c>
      <c r="M35" s="66">
        <f>_xlfn.STDEV.S('Расчет 1 - НМЦед'!$G35:$K35)</f>
        <v>224.02306428877668</v>
      </c>
      <c r="N35" s="67">
        <f t="shared" si="3"/>
        <v>0.35428188491575074</v>
      </c>
      <c r="O35" s="66">
        <f t="shared" si="1"/>
        <v>650</v>
      </c>
      <c r="P35" s="66">
        <f t="shared" si="4"/>
        <v>632.33000000000004</v>
      </c>
    </row>
    <row r="36" spans="1:20" s="6" customFormat="1" ht="33" thickTop="1" thickBot="1" x14ac:dyDescent="0.3">
      <c r="A36" s="47"/>
      <c r="B36" s="70" t="s">
        <v>115</v>
      </c>
      <c r="C36" s="49" t="s">
        <v>60</v>
      </c>
      <c r="D36" s="48" t="s">
        <v>47</v>
      </c>
      <c r="E36" s="63">
        <v>1</v>
      </c>
      <c r="F36" s="48" t="s">
        <v>77</v>
      </c>
      <c r="G36" s="50">
        <v>1000</v>
      </c>
      <c r="H36" s="50">
        <v>1600</v>
      </c>
      <c r="I36" s="50"/>
      <c r="J36" s="50">
        <v>3034</v>
      </c>
      <c r="K36" s="50">
        <v>1794</v>
      </c>
      <c r="L36" s="66">
        <f>ROUND(AVERAGE('Расчет 1 - НМЦед'!$G36:$K36),2)</f>
        <v>1857</v>
      </c>
      <c r="M36" s="66">
        <f>_xlfn.STDEV.S('Расчет 1 - НМЦед'!$G36:$K36)</f>
        <v>854.36057961495396</v>
      </c>
      <c r="N36" s="67">
        <f t="shared" si="3"/>
        <v>0.4600757025390167</v>
      </c>
      <c r="O36" s="66">
        <f t="shared" si="1"/>
        <v>1000</v>
      </c>
      <c r="P36" s="66">
        <f t="shared" si="4"/>
        <v>1857</v>
      </c>
      <c r="T36" s="10"/>
    </row>
    <row r="37" spans="1:20" s="6" customFormat="1" ht="33.75" customHeight="1" thickTop="1" thickBot="1" x14ac:dyDescent="0.3">
      <c r="A37" s="47"/>
      <c r="B37" s="52"/>
      <c r="C37" s="53"/>
      <c r="D37" s="52"/>
      <c r="E37" s="54"/>
      <c r="F37" s="55"/>
      <c r="G37" s="56"/>
      <c r="H37" s="56"/>
      <c r="I37" s="56"/>
      <c r="J37" s="56"/>
      <c r="K37" s="56"/>
      <c r="L37" s="57"/>
      <c r="M37" s="57"/>
      <c r="N37" s="68" t="s">
        <v>14</v>
      </c>
      <c r="O37" s="68">
        <f>SUM(O6:O36)</f>
        <v>94700</v>
      </c>
      <c r="P37" s="68">
        <f>SUM(P6:P36)</f>
        <v>148885.74</v>
      </c>
    </row>
    <row r="38" spans="1:20" ht="16.5" thickTop="1" x14ac:dyDescent="0.25">
      <c r="A38" s="46"/>
      <c r="B38" s="58"/>
      <c r="C38" s="46"/>
      <c r="D38" s="46"/>
      <c r="E38" s="46"/>
      <c r="F38" s="46"/>
      <c r="G38" s="59"/>
      <c r="H38" s="59"/>
      <c r="I38" s="59"/>
      <c r="J38" s="59"/>
      <c r="K38" s="59"/>
      <c r="L38" s="46"/>
      <c r="M38" s="46"/>
      <c r="N38" s="60"/>
      <c r="O38" s="46"/>
      <c r="P38" s="46"/>
    </row>
    <row r="39" spans="1:20" x14ac:dyDescent="0.25">
      <c r="A39" s="79"/>
      <c r="B39" s="58" t="s">
        <v>119</v>
      </c>
      <c r="C39" s="79"/>
      <c r="D39" s="79"/>
      <c r="E39" s="79"/>
      <c r="F39" s="79"/>
      <c r="G39" s="80"/>
      <c r="H39" s="80"/>
      <c r="I39" s="80"/>
      <c r="J39" s="80"/>
      <c r="K39" s="80"/>
      <c r="L39" s="79"/>
      <c r="M39" s="46"/>
      <c r="N39" s="60"/>
      <c r="O39" s="46"/>
      <c r="P39" s="46"/>
    </row>
    <row r="40" spans="1:20" x14ac:dyDescent="0.25">
      <c r="B40" s="3"/>
      <c r="G40" s="8"/>
      <c r="H40" s="8"/>
      <c r="I40" s="8"/>
      <c r="J40" s="8"/>
      <c r="K40" s="8"/>
      <c r="N40" s="5"/>
    </row>
    <row r="41" spans="1:20" ht="33.75" customHeight="1" x14ac:dyDescent="0.2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</row>
    <row r="42" spans="1:20" x14ac:dyDescent="0.25">
      <c r="B42" s="7"/>
      <c r="C42" s="7"/>
      <c r="D42" s="7"/>
      <c r="E42" s="7"/>
      <c r="F42" s="7"/>
      <c r="L42" s="7"/>
      <c r="M42" s="7"/>
      <c r="N42" s="7"/>
      <c r="O42" s="7"/>
      <c r="P42" s="7"/>
    </row>
    <row r="43" spans="1:20" x14ac:dyDescent="0.25">
      <c r="K43" s="9"/>
    </row>
  </sheetData>
  <mergeCells count="16">
    <mergeCell ref="B41:P41"/>
    <mergeCell ref="B2:P2"/>
    <mergeCell ref="C3:F3"/>
    <mergeCell ref="G3:K3"/>
    <mergeCell ref="L3:N3"/>
    <mergeCell ref="O3:P3"/>
    <mergeCell ref="B4:B5"/>
    <mergeCell ref="C4:C5"/>
    <mergeCell ref="D4:D5"/>
    <mergeCell ref="E4:E5"/>
    <mergeCell ref="F4:F5"/>
    <mergeCell ref="L4:L5"/>
    <mergeCell ref="M4:M5"/>
    <mergeCell ref="N4:N5"/>
    <mergeCell ref="O4:O5"/>
    <mergeCell ref="P4:P5"/>
  </mergeCells>
  <phoneticPr fontId="13" type="noConversion"/>
  <printOptions horizontalCentered="1"/>
  <pageMargins left="0.11811023622047245" right="0.11811023622047245" top="0.35433070866141736" bottom="0" header="0" footer="0"/>
  <pageSetup paperSize="9" scale="49" fitToHeight="0" orientation="landscape" r:id="rId1"/>
  <headerFooter>
    <oddHeader xml:space="preserve">&amp;R
</oddHeader>
    <oddFooter xml:space="preserve">&amp;Cстраница 1 из 4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8"/>
  <sheetViews>
    <sheetView zoomScale="90" zoomScaleNormal="90" zoomScaleSheetLayoutView="80" zoomScalePageLayoutView="80" workbookViewId="0">
      <selection activeCell="I34" sqref="I34"/>
    </sheetView>
  </sheetViews>
  <sheetFormatPr defaultRowHeight="15.75" x14ac:dyDescent="0.25"/>
  <cols>
    <col min="1" max="1" width="3" style="4" customWidth="1"/>
    <col min="2" max="2" width="7.140625" style="4" customWidth="1"/>
    <col min="3" max="3" width="35.5703125" style="4" customWidth="1"/>
    <col min="4" max="4" width="14.28515625" style="4" customWidth="1"/>
    <col min="5" max="6" width="9.85546875" style="4" customWidth="1"/>
    <col min="7" max="13" width="14.28515625" style="4" customWidth="1"/>
    <col min="14" max="16" width="20" style="4" customWidth="1"/>
    <col min="17" max="17" width="21.140625" style="4" customWidth="1"/>
    <col min="18" max="18" width="21" style="4" customWidth="1"/>
    <col min="19" max="19" width="3" style="4" customWidth="1"/>
    <col min="20" max="21" width="9.140625" style="4"/>
    <col min="22" max="22" width="15.5703125" style="4" bestFit="1" customWidth="1"/>
    <col min="23" max="23" width="12.7109375" style="4" bestFit="1" customWidth="1"/>
    <col min="24" max="24" width="14.42578125" style="4" bestFit="1" customWidth="1"/>
    <col min="25" max="16384" width="9.140625" style="4"/>
  </cols>
  <sheetData>
    <row r="1" spans="1:24" ht="16.5" thickBot="1" x14ac:dyDescent="0.3">
      <c r="A1" s="1"/>
      <c r="B1" s="1"/>
      <c r="C1" s="1"/>
      <c r="D1" s="1"/>
      <c r="E1" s="1"/>
      <c r="F1" s="2"/>
    </row>
    <row r="2" spans="1:24" ht="55.5" customHeight="1" thickTop="1" thickBot="1" x14ac:dyDescent="0.3">
      <c r="B2" s="72" t="s">
        <v>24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24" ht="27.75" customHeight="1" thickTop="1" thickBot="1" x14ac:dyDescent="0.3">
      <c r="B3" s="64"/>
      <c r="C3" s="73" t="s">
        <v>12</v>
      </c>
      <c r="D3" s="73"/>
      <c r="E3" s="73"/>
      <c r="F3" s="74"/>
      <c r="G3" s="75" t="s">
        <v>29</v>
      </c>
      <c r="H3" s="75"/>
      <c r="I3" s="75"/>
      <c r="J3" s="75"/>
      <c r="K3" s="75"/>
      <c r="L3" s="75"/>
      <c r="M3" s="75"/>
      <c r="N3" s="76" t="s">
        <v>22</v>
      </c>
      <c r="O3" s="76"/>
      <c r="P3" s="76"/>
      <c r="Q3" s="75" t="s">
        <v>23</v>
      </c>
      <c r="R3" s="75"/>
    </row>
    <row r="4" spans="1:24" ht="42.75" customHeight="1" thickTop="1" thickBot="1" x14ac:dyDescent="0.3">
      <c r="B4" s="75" t="s">
        <v>3</v>
      </c>
      <c r="C4" s="75" t="s">
        <v>11</v>
      </c>
      <c r="D4" s="75" t="s">
        <v>17</v>
      </c>
      <c r="E4" s="75" t="s">
        <v>0</v>
      </c>
      <c r="F4" s="75" t="s">
        <v>25</v>
      </c>
      <c r="G4" s="65" t="s">
        <v>40</v>
      </c>
      <c r="H4" s="65" t="s">
        <v>41</v>
      </c>
      <c r="I4" s="65" t="s">
        <v>42</v>
      </c>
      <c r="J4" s="69" t="s">
        <v>43</v>
      </c>
      <c r="K4" s="69" t="s">
        <v>44</v>
      </c>
      <c r="L4" s="69" t="s">
        <v>45</v>
      </c>
      <c r="M4" s="69" t="s">
        <v>46</v>
      </c>
      <c r="N4" s="75" t="s">
        <v>27</v>
      </c>
      <c r="O4" s="75" t="s">
        <v>26</v>
      </c>
      <c r="P4" s="75" t="s">
        <v>30</v>
      </c>
      <c r="Q4" s="75" t="s">
        <v>31</v>
      </c>
      <c r="R4" s="75" t="s">
        <v>32</v>
      </c>
    </row>
    <row r="5" spans="1:24" s="6" customFormat="1" ht="59.25" customHeight="1" thickTop="1" thickBot="1" x14ac:dyDescent="0.3">
      <c r="B5" s="75"/>
      <c r="C5" s="75"/>
      <c r="D5" s="75"/>
      <c r="E5" s="75"/>
      <c r="F5" s="75"/>
      <c r="G5" s="66">
        <f>SUMPRODUCT($E6:$E13,G6:G13)</f>
        <v>180000</v>
      </c>
      <c r="H5" s="66">
        <f t="shared" ref="H5:M5" si="0">SUMPRODUCT($E6:$E13,H6:H13)</f>
        <v>175100</v>
      </c>
      <c r="I5" s="66">
        <f t="shared" si="0"/>
        <v>170400</v>
      </c>
      <c r="J5" s="66">
        <f t="shared" si="0"/>
        <v>256000</v>
      </c>
      <c r="K5" s="66">
        <f t="shared" si="0"/>
        <v>219600</v>
      </c>
      <c r="L5" s="66">
        <f t="shared" si="0"/>
        <v>170400</v>
      </c>
      <c r="M5" s="66">
        <f t="shared" si="0"/>
        <v>216000</v>
      </c>
      <c r="N5" s="75"/>
      <c r="O5" s="75"/>
      <c r="P5" s="75"/>
      <c r="Q5" s="75"/>
      <c r="R5" s="75"/>
      <c r="V5" s="10"/>
      <c r="W5" s="10"/>
      <c r="X5" s="10"/>
    </row>
    <row r="6" spans="1:24" s="6" customFormat="1" ht="33.75" customHeight="1" thickTop="1" thickBot="1" x14ac:dyDescent="0.3">
      <c r="B6" s="48">
        <v>1</v>
      </c>
      <c r="C6" s="49" t="s">
        <v>8</v>
      </c>
      <c r="D6" s="48" t="s">
        <v>18</v>
      </c>
      <c r="E6" s="61">
        <v>2</v>
      </c>
      <c r="F6" s="48" t="s">
        <v>2</v>
      </c>
      <c r="G6" s="50">
        <v>63000</v>
      </c>
      <c r="H6" s="50">
        <v>57000</v>
      </c>
      <c r="I6" s="50">
        <v>58000</v>
      </c>
      <c r="J6" s="50">
        <v>80000</v>
      </c>
      <c r="K6" s="50">
        <v>70000</v>
      </c>
      <c r="L6" s="50">
        <v>59000</v>
      </c>
      <c r="M6" s="50">
        <v>60000</v>
      </c>
      <c r="N6" s="66">
        <f>ROUND(AVERAGE('Расчет 2 - НМЦД'!$G6:$M6),2)</f>
        <v>63857.14</v>
      </c>
      <c r="O6" s="66">
        <f>_xlfn.STDEV.S('Расчет 2 - НМЦД'!$G6:$M6)</f>
        <v>8355.2093815489679</v>
      </c>
      <c r="P6" s="67">
        <f>O6/N6</f>
        <v>0.1308422109344228</v>
      </c>
      <c r="Q6" s="66">
        <f>(INDEX(G6:M6,MATCH(MIN($G$5:$M$5),$G$5:$M$5,0)))*E6</f>
        <v>116000</v>
      </c>
      <c r="R6" s="66">
        <f t="shared" ref="R6:R11" si="1">E6*N6</f>
        <v>127714.28</v>
      </c>
      <c r="V6" s="10"/>
      <c r="W6" s="10"/>
      <c r="X6" s="10"/>
    </row>
    <row r="7" spans="1:24" s="6" customFormat="1" ht="33.75" customHeight="1" thickTop="1" thickBot="1" x14ac:dyDescent="0.3">
      <c r="B7" s="48">
        <f>B6+1</f>
        <v>2</v>
      </c>
      <c r="C7" s="49" t="s">
        <v>5</v>
      </c>
      <c r="D7" s="48" t="s">
        <v>19</v>
      </c>
      <c r="E7" s="61">
        <v>2</v>
      </c>
      <c r="F7" s="48" t="s">
        <v>2</v>
      </c>
      <c r="G7" s="50">
        <v>3000</v>
      </c>
      <c r="H7" s="50">
        <v>3700</v>
      </c>
      <c r="I7" s="50">
        <v>2800</v>
      </c>
      <c r="J7" s="50">
        <v>4500</v>
      </c>
      <c r="K7" s="50">
        <v>4800</v>
      </c>
      <c r="L7" s="50">
        <v>1800</v>
      </c>
      <c r="M7" s="50">
        <v>4500</v>
      </c>
      <c r="N7" s="66">
        <f>ROUND(AVERAGE('Расчет 2 - НМЦД'!$G7:$M7),2)</f>
        <v>3585.71</v>
      </c>
      <c r="O7" s="66">
        <f>_xlfn.STDEV.S('Расчет 2 - НМЦД'!$G7:$M7)</f>
        <v>1103.6735197037387</v>
      </c>
      <c r="P7" s="67">
        <f t="shared" ref="P7:P11" si="2">O7/N7</f>
        <v>0.30779776381908708</v>
      </c>
      <c r="Q7" s="66">
        <f t="shared" ref="Q7:Q13" si="3">(INDEX(G7:M7,MATCH(MIN($G$5:$M$5),$G$5:$M$5,0)))*E7</f>
        <v>5600</v>
      </c>
      <c r="R7" s="66">
        <f t="shared" si="1"/>
        <v>7171.42</v>
      </c>
      <c r="V7" s="10"/>
      <c r="W7" s="10"/>
      <c r="X7" s="10"/>
    </row>
    <row r="8" spans="1:24" s="6" customFormat="1" ht="33.75" customHeight="1" thickTop="1" thickBot="1" x14ac:dyDescent="0.3">
      <c r="B8" s="48">
        <f t="shared" ref="B8:B9" si="4">B7+1</f>
        <v>3</v>
      </c>
      <c r="C8" s="49" t="s">
        <v>6</v>
      </c>
      <c r="D8" s="48" t="s">
        <v>21</v>
      </c>
      <c r="E8" s="61">
        <v>1</v>
      </c>
      <c r="F8" s="48" t="s">
        <v>1</v>
      </c>
      <c r="G8" s="50">
        <v>5000</v>
      </c>
      <c r="H8" s="50">
        <v>4500</v>
      </c>
      <c r="I8" s="50">
        <v>4000</v>
      </c>
      <c r="J8" s="50">
        <v>8000</v>
      </c>
      <c r="K8" s="50">
        <v>7000</v>
      </c>
      <c r="L8" s="50">
        <v>4000</v>
      </c>
      <c r="M8" s="50">
        <v>8000</v>
      </c>
      <c r="N8" s="66">
        <f>ROUND(AVERAGE('Расчет 2 - НМЦД'!$G8:$M8),2)</f>
        <v>5785.71</v>
      </c>
      <c r="O8" s="66">
        <f>_xlfn.STDEV.S('Расчет 2 - НМЦД'!$G8:$M8)</f>
        <v>1822.4786888818678</v>
      </c>
      <c r="P8" s="67">
        <f t="shared" si="2"/>
        <v>0.31499654992764375</v>
      </c>
      <c r="Q8" s="66">
        <f t="shared" si="3"/>
        <v>4000</v>
      </c>
      <c r="R8" s="66">
        <f t="shared" si="1"/>
        <v>5785.71</v>
      </c>
      <c r="V8" s="10"/>
      <c r="W8" s="10"/>
      <c r="X8" s="10"/>
    </row>
    <row r="9" spans="1:24" s="6" customFormat="1" ht="33.75" customHeight="1" thickTop="1" thickBot="1" x14ac:dyDescent="0.3">
      <c r="B9" s="48">
        <f t="shared" si="4"/>
        <v>4</v>
      </c>
      <c r="C9" s="49" t="s">
        <v>7</v>
      </c>
      <c r="D9" s="48" t="s">
        <v>20</v>
      </c>
      <c r="E9" s="61">
        <v>1</v>
      </c>
      <c r="F9" s="48" t="s">
        <v>1</v>
      </c>
      <c r="G9" s="50">
        <v>25000</v>
      </c>
      <c r="H9" s="50">
        <v>32000</v>
      </c>
      <c r="I9" s="50">
        <v>30000</v>
      </c>
      <c r="J9" s="50">
        <v>50000</v>
      </c>
      <c r="K9" s="50">
        <v>40000</v>
      </c>
      <c r="L9" s="50">
        <v>30000</v>
      </c>
      <c r="M9" s="50">
        <v>50000</v>
      </c>
      <c r="N9" s="66">
        <f>ROUND(AVERAGE('Расчет 2 - НМЦД'!$G9:$M9),2)</f>
        <v>36714.29</v>
      </c>
      <c r="O9" s="66">
        <f>_xlfn.STDEV.S('Расчет 2 - НМЦД'!$G9:$M9)</f>
        <v>10111.285538352444</v>
      </c>
      <c r="P9" s="67">
        <f t="shared" si="2"/>
        <v>0.27540463232034296</v>
      </c>
      <c r="Q9" s="66">
        <f t="shared" si="3"/>
        <v>30000</v>
      </c>
      <c r="R9" s="66">
        <f t="shared" si="1"/>
        <v>36714.29</v>
      </c>
      <c r="V9" s="10"/>
      <c r="W9" s="10"/>
      <c r="X9" s="10"/>
    </row>
    <row r="10" spans="1:24" s="6" customFormat="1" ht="33.75" customHeight="1" thickTop="1" thickBot="1" x14ac:dyDescent="0.3">
      <c r="B10" s="48">
        <v>5</v>
      </c>
      <c r="C10" s="49" t="s">
        <v>9</v>
      </c>
      <c r="D10" s="48" t="s">
        <v>10</v>
      </c>
      <c r="E10" s="61">
        <v>1</v>
      </c>
      <c r="F10" s="48" t="s">
        <v>10</v>
      </c>
      <c r="G10" s="50">
        <v>3000</v>
      </c>
      <c r="H10" s="50">
        <v>3700</v>
      </c>
      <c r="I10" s="50">
        <v>2800</v>
      </c>
      <c r="J10" s="50">
        <v>5000</v>
      </c>
      <c r="K10" s="50">
        <v>2000</v>
      </c>
      <c r="L10" s="50">
        <v>2800</v>
      </c>
      <c r="M10" s="50">
        <v>5000</v>
      </c>
      <c r="N10" s="66">
        <f>ROUND(AVERAGE('Расчет 2 - НМЦД'!$G10:$M10),2)</f>
        <v>3471.43</v>
      </c>
      <c r="O10" s="66">
        <f>_xlfn.STDEV.S('Расчет 2 - НМЦД'!$G10:$M10)</f>
        <v>1155.7310611531932</v>
      </c>
      <c r="P10" s="67">
        <f t="shared" si="2"/>
        <v>0.33292650612375685</v>
      </c>
      <c r="Q10" s="66">
        <f t="shared" si="3"/>
        <v>2800</v>
      </c>
      <c r="R10" s="66">
        <f t="shared" si="1"/>
        <v>3471.43</v>
      </c>
      <c r="V10" s="10"/>
    </row>
    <row r="11" spans="1:24" s="6" customFormat="1" ht="33.75" customHeight="1" thickTop="1" thickBot="1" x14ac:dyDescent="0.3">
      <c r="B11" s="48" t="s">
        <v>10</v>
      </c>
      <c r="C11" s="49" t="s">
        <v>9</v>
      </c>
      <c r="D11" s="48" t="s">
        <v>10</v>
      </c>
      <c r="E11" s="61">
        <v>1</v>
      </c>
      <c r="F11" s="51" t="s">
        <v>10</v>
      </c>
      <c r="G11" s="50">
        <v>5000</v>
      </c>
      <c r="H11" s="50">
        <v>4500</v>
      </c>
      <c r="I11" s="50">
        <v>4000</v>
      </c>
      <c r="J11" s="50">
        <v>8000</v>
      </c>
      <c r="K11" s="50">
        <v>7000</v>
      </c>
      <c r="L11" s="50">
        <v>4000</v>
      </c>
      <c r="M11" s="50">
        <v>8000</v>
      </c>
      <c r="N11" s="66">
        <f>ROUND(AVERAGE('Расчет 2 - НМЦД'!$G11:$M11),2)</f>
        <v>5785.71</v>
      </c>
      <c r="O11" s="66">
        <f>_xlfn.STDEV.S('Расчет 2 - НМЦД'!$G11:$M11)</f>
        <v>1822.4786888818678</v>
      </c>
      <c r="P11" s="67">
        <f t="shared" si="2"/>
        <v>0.31499654992764375</v>
      </c>
      <c r="Q11" s="66">
        <f t="shared" si="3"/>
        <v>4000</v>
      </c>
      <c r="R11" s="66">
        <f t="shared" si="1"/>
        <v>5785.71</v>
      </c>
    </row>
    <row r="12" spans="1:24" s="6" customFormat="1" ht="33.75" customHeight="1" thickTop="1" thickBot="1" x14ac:dyDescent="0.3">
      <c r="B12" s="48" t="s">
        <v>10</v>
      </c>
      <c r="C12" s="49" t="s">
        <v>9</v>
      </c>
      <c r="D12" s="48" t="s">
        <v>10</v>
      </c>
      <c r="E12" s="61">
        <v>1</v>
      </c>
      <c r="F12" s="51" t="s">
        <v>10</v>
      </c>
      <c r="G12" s="50">
        <v>5000</v>
      </c>
      <c r="H12" s="50">
        <v>4500</v>
      </c>
      <c r="I12" s="50">
        <v>4000</v>
      </c>
      <c r="J12" s="50">
        <v>8000</v>
      </c>
      <c r="K12" s="50">
        <v>7000</v>
      </c>
      <c r="L12" s="50">
        <v>4000</v>
      </c>
      <c r="M12" s="50">
        <v>8000</v>
      </c>
      <c r="N12" s="66">
        <f>ROUND(AVERAGE('Расчет 2 - НМЦД'!$G12:$M12),2)</f>
        <v>5785.71</v>
      </c>
      <c r="O12" s="66">
        <f>_xlfn.STDEV.S('Расчет 2 - НМЦД'!$G12:$M12)</f>
        <v>1822.4786888818678</v>
      </c>
      <c r="P12" s="67">
        <f t="shared" ref="P12" si="5">O12/N12</f>
        <v>0.31499654992764375</v>
      </c>
      <c r="Q12" s="66">
        <f t="shared" si="3"/>
        <v>4000</v>
      </c>
      <c r="R12" s="66">
        <f t="shared" ref="R12" si="6">E12*N12</f>
        <v>5785.71</v>
      </c>
    </row>
    <row r="13" spans="1:24" s="6" customFormat="1" ht="33.75" customHeight="1" thickTop="1" thickBot="1" x14ac:dyDescent="0.3">
      <c r="B13" s="48" t="s">
        <v>10</v>
      </c>
      <c r="C13" s="49" t="s">
        <v>9</v>
      </c>
      <c r="D13" s="48" t="s">
        <v>10</v>
      </c>
      <c r="E13" s="61">
        <v>1</v>
      </c>
      <c r="F13" s="51" t="s">
        <v>10</v>
      </c>
      <c r="G13" s="50">
        <v>5000</v>
      </c>
      <c r="H13" s="50">
        <v>4500</v>
      </c>
      <c r="I13" s="50">
        <v>4000</v>
      </c>
      <c r="J13" s="50">
        <v>8000</v>
      </c>
      <c r="K13" s="50">
        <v>7000</v>
      </c>
      <c r="L13" s="50">
        <v>4000</v>
      </c>
      <c r="M13" s="50">
        <v>8000</v>
      </c>
      <c r="N13" s="66">
        <f>ROUND(AVERAGE('Расчет 2 - НМЦД'!$G13:$M13),2)</f>
        <v>5785.71</v>
      </c>
      <c r="O13" s="66">
        <f>_xlfn.STDEV.S('Расчет 2 - НМЦД'!$G13:$M13)</f>
        <v>1822.4786888818678</v>
      </c>
      <c r="P13" s="67">
        <f t="shared" ref="P13" si="7">O13/N13</f>
        <v>0.31499654992764375</v>
      </c>
      <c r="Q13" s="66">
        <f t="shared" si="3"/>
        <v>4000</v>
      </c>
      <c r="R13" s="66">
        <f t="shared" ref="R13" si="8">E13*N13</f>
        <v>5785.71</v>
      </c>
    </row>
    <row r="14" spans="1:24" s="6" customFormat="1" ht="33.75" customHeight="1" thickTop="1" thickBot="1" x14ac:dyDescent="0.3">
      <c r="B14" s="52"/>
      <c r="C14" s="53"/>
      <c r="D14" s="52"/>
      <c r="E14" s="54"/>
      <c r="F14" s="55"/>
      <c r="G14" s="56"/>
      <c r="H14" s="56"/>
      <c r="I14" s="56"/>
      <c r="J14" s="56"/>
      <c r="K14" s="56"/>
      <c r="L14" s="56"/>
      <c r="M14" s="56"/>
      <c r="N14" s="57"/>
      <c r="O14" s="57"/>
      <c r="P14" s="68" t="s">
        <v>4</v>
      </c>
      <c r="Q14" s="68">
        <f>SUM(Q6:Q13)</f>
        <v>170400</v>
      </c>
      <c r="R14" s="68">
        <f>SUM(R6:R13)</f>
        <v>198214.25999999998</v>
      </c>
    </row>
    <row r="15" spans="1:24" ht="16.5" thickTop="1" x14ac:dyDescent="0.25">
      <c r="B15" s="3"/>
      <c r="G15" s="8"/>
      <c r="H15" s="8"/>
      <c r="I15" s="8"/>
      <c r="J15" s="8"/>
      <c r="K15" s="8"/>
      <c r="L15" s="8"/>
      <c r="M15" s="8"/>
      <c r="P15" s="5"/>
    </row>
    <row r="16" spans="1:24" ht="33.75" customHeight="1" x14ac:dyDescent="0.25">
      <c r="B16" s="78" t="s">
        <v>35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</row>
    <row r="17" spans="2:18" x14ac:dyDescent="0.25">
      <c r="B17" s="7"/>
      <c r="C17" s="7"/>
      <c r="D17" s="7"/>
      <c r="E17" s="7"/>
      <c r="F17" s="7"/>
      <c r="N17" s="7"/>
      <c r="O17" s="7"/>
      <c r="P17" s="7"/>
      <c r="Q17" s="7"/>
      <c r="R17" s="7"/>
    </row>
    <row r="18" spans="2:18" x14ac:dyDescent="0.25">
      <c r="J18" s="9"/>
    </row>
  </sheetData>
  <mergeCells count="16">
    <mergeCell ref="B16:R16"/>
    <mergeCell ref="B2:R2"/>
    <mergeCell ref="N3:P3"/>
    <mergeCell ref="Q3:R3"/>
    <mergeCell ref="C3:F3"/>
    <mergeCell ref="G3:M3"/>
    <mergeCell ref="B4:B5"/>
    <mergeCell ref="C4:C5"/>
    <mergeCell ref="D4:D5"/>
    <mergeCell ref="E4:E5"/>
    <mergeCell ref="F4:F5"/>
    <mergeCell ref="N4:N5"/>
    <mergeCell ref="O4:O5"/>
    <mergeCell ref="P4:P5"/>
    <mergeCell ref="Q4:Q5"/>
    <mergeCell ref="R4:R5"/>
  </mergeCells>
  <phoneticPr fontId="13" type="noConversion"/>
  <printOptions horizontalCentered="1"/>
  <pageMargins left="0.11811023622047245" right="0.11811023622047245" top="0.35433070866141736" bottom="0" header="0" footer="0"/>
  <pageSetup paperSize="9" scale="50" fitToHeight="0" orientation="landscape" r:id="rId1"/>
  <headerFooter>
    <oddFooter xml:space="preserve">&amp;Cстраница 2 из 4
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2C8BE-BBCE-416E-9AC6-C0867DD8F1CD}">
  <sheetPr>
    <pageSetUpPr fitToPage="1"/>
  </sheetPr>
  <dimension ref="A1:T38"/>
  <sheetViews>
    <sheetView topLeftCell="A22" zoomScale="90" zoomScaleNormal="90" zoomScaleSheetLayoutView="80" zoomScalePageLayoutView="80" workbookViewId="0">
      <selection activeCell="I31" sqref="I31:I32"/>
    </sheetView>
  </sheetViews>
  <sheetFormatPr defaultRowHeight="15.75" x14ac:dyDescent="0.25"/>
  <cols>
    <col min="1" max="1" width="3" style="4" customWidth="1"/>
    <col min="2" max="2" width="7.140625" style="4" customWidth="1"/>
    <col min="3" max="3" width="35.5703125" style="4" customWidth="1"/>
    <col min="4" max="4" width="14.28515625" style="4" customWidth="1"/>
    <col min="5" max="5" width="16.140625" style="4" customWidth="1"/>
    <col min="6" max="6" width="9.85546875" style="4" customWidth="1"/>
    <col min="7" max="9" width="14.28515625" style="4" customWidth="1"/>
    <col min="10" max="13" width="20" style="4" customWidth="1"/>
    <col min="14" max="14" width="20" style="43" customWidth="1"/>
    <col min="15" max="15" width="3" style="4" customWidth="1"/>
    <col min="16" max="17" width="9.140625" style="4"/>
    <col min="18" max="18" width="15.5703125" style="4" bestFit="1" customWidth="1"/>
    <col min="19" max="19" width="12.7109375" style="4" bestFit="1" customWidth="1"/>
    <col min="20" max="20" width="14.42578125" style="4" bestFit="1" customWidth="1"/>
    <col min="21" max="16384" width="9.140625" style="4"/>
  </cols>
  <sheetData>
    <row r="1" spans="1:20" ht="16.5" thickBot="1" x14ac:dyDescent="0.3">
      <c r="A1" s="1"/>
      <c r="B1" s="1"/>
      <c r="C1" s="1"/>
      <c r="D1" s="1"/>
      <c r="E1" s="1"/>
      <c r="F1" s="2"/>
    </row>
    <row r="2" spans="1:20" ht="56.25" customHeight="1" thickTop="1" thickBot="1" x14ac:dyDescent="0.3">
      <c r="B2" s="72" t="s">
        <v>28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20" ht="33" customHeight="1" thickTop="1" thickBot="1" x14ac:dyDescent="0.3">
      <c r="B3" s="64"/>
      <c r="C3" s="73" t="s">
        <v>12</v>
      </c>
      <c r="D3" s="73"/>
      <c r="E3" s="73"/>
      <c r="F3" s="74"/>
      <c r="G3" s="75" t="s">
        <v>29</v>
      </c>
      <c r="H3" s="75"/>
      <c r="I3" s="75"/>
      <c r="J3" s="76" t="s">
        <v>22</v>
      </c>
      <c r="K3" s="76"/>
      <c r="L3" s="76"/>
      <c r="M3" s="75" t="s">
        <v>23</v>
      </c>
      <c r="N3" s="75"/>
    </row>
    <row r="4" spans="1:20" ht="42" customHeight="1" thickTop="1" thickBot="1" x14ac:dyDescent="0.3">
      <c r="B4" s="75" t="s">
        <v>3</v>
      </c>
      <c r="C4" s="75" t="s">
        <v>11</v>
      </c>
      <c r="D4" s="75" t="s">
        <v>17</v>
      </c>
      <c r="E4" s="75" t="s">
        <v>0</v>
      </c>
      <c r="F4" s="75" t="s">
        <v>25</v>
      </c>
      <c r="G4" s="65" t="s">
        <v>40</v>
      </c>
      <c r="H4" s="65" t="s">
        <v>41</v>
      </c>
      <c r="I4" s="65" t="s">
        <v>42</v>
      </c>
      <c r="J4" s="75" t="s">
        <v>27</v>
      </c>
      <c r="K4" s="75" t="s">
        <v>26</v>
      </c>
      <c r="L4" s="75" t="s">
        <v>30</v>
      </c>
      <c r="M4" s="75" t="s">
        <v>33</v>
      </c>
      <c r="N4" s="75" t="s">
        <v>13</v>
      </c>
    </row>
    <row r="5" spans="1:20" s="6" customFormat="1" ht="33.75" customHeight="1" thickTop="1" thickBot="1" x14ac:dyDescent="0.3">
      <c r="B5" s="75"/>
      <c r="C5" s="75"/>
      <c r="D5" s="75"/>
      <c r="E5" s="75"/>
      <c r="F5" s="75"/>
      <c r="G5" s="66">
        <f>SUM(G6:G32)</f>
        <v>8700</v>
      </c>
      <c r="H5" s="66">
        <f>SUM(H6:H32)</f>
        <v>16777</v>
      </c>
      <c r="I5" s="66">
        <f>SUM(I6:I32)</f>
        <v>20559</v>
      </c>
      <c r="J5" s="75"/>
      <c r="K5" s="75"/>
      <c r="L5" s="75"/>
      <c r="M5" s="75"/>
      <c r="N5" s="75"/>
      <c r="R5" s="10"/>
      <c r="S5" s="10"/>
      <c r="T5" s="10"/>
    </row>
    <row r="6" spans="1:20" s="6" customFormat="1" ht="33.75" customHeight="1" thickTop="1" thickBot="1" x14ac:dyDescent="0.3">
      <c r="B6" s="48">
        <v>1</v>
      </c>
      <c r="C6" s="49" t="s">
        <v>61</v>
      </c>
      <c r="D6" s="48" t="s">
        <v>47</v>
      </c>
      <c r="E6" s="63" t="s">
        <v>36</v>
      </c>
      <c r="F6" s="48" t="s">
        <v>1</v>
      </c>
      <c r="G6" s="50">
        <v>150</v>
      </c>
      <c r="H6" s="50">
        <v>400</v>
      </c>
      <c r="I6" s="50">
        <v>635</v>
      </c>
      <c r="J6" s="66">
        <f>ROUND(AVERAGE('Расчет 3 - ЦЕПед'!$G6:$I6),2)</f>
        <v>395</v>
      </c>
      <c r="K6" s="66">
        <f>_xlfn.STDEV.S('Расчет 3 - ЦЕПед'!$G6:$I6)</f>
        <v>242.53865671269807</v>
      </c>
      <c r="L6" s="67">
        <f>K6/J6</f>
        <v>0.61402191572834952</v>
      </c>
      <c r="M6" s="66">
        <f t="shared" ref="M6:M32" si="0">INDEX(G6:I6,MATCH(MIN($G$5:$I$5),$G$5:$I$5,0))</f>
        <v>150</v>
      </c>
      <c r="N6" s="66" t="str">
        <f>IF(AND(M6&gt;J6),"превышает среднее значение","не превышает среднее значение")</f>
        <v>не превышает среднее значение</v>
      </c>
      <c r="R6" s="10"/>
      <c r="S6" s="10"/>
      <c r="T6" s="10"/>
    </row>
    <row r="7" spans="1:20" s="6" customFormat="1" ht="48.75" thickTop="1" thickBot="1" x14ac:dyDescent="0.3">
      <c r="B7" s="48">
        <f>B6+1</f>
        <v>2</v>
      </c>
      <c r="C7" s="49" t="s">
        <v>62</v>
      </c>
      <c r="D7" s="48" t="s">
        <v>47</v>
      </c>
      <c r="E7" s="63" t="s">
        <v>36</v>
      </c>
      <c r="F7" s="48" t="s">
        <v>1</v>
      </c>
      <c r="G7" s="50">
        <v>150</v>
      </c>
      <c r="H7" s="50">
        <v>350</v>
      </c>
      <c r="I7" s="50">
        <v>1134</v>
      </c>
      <c r="J7" s="66">
        <f>ROUND(AVERAGE('Расчет 3 - ЦЕПед'!$G7:$I7),2)</f>
        <v>544.66999999999996</v>
      </c>
      <c r="K7" s="66">
        <f>_xlfn.STDEV.S('Расчет 3 - ЦЕПед'!$G7:$I7)</f>
        <v>520.08204480959864</v>
      </c>
      <c r="L7" s="67">
        <f t="shared" ref="L7:L12" si="1">K7/J7</f>
        <v>0.95485715168744134</v>
      </c>
      <c r="M7" s="66">
        <f t="shared" si="0"/>
        <v>150</v>
      </c>
      <c r="N7" s="66" t="str">
        <f t="shared" ref="N7:N12" si="2">IF(AND(M7&gt;J7),"превышает среднее значение","не превышает среднее значение")</f>
        <v>не превышает среднее значение</v>
      </c>
      <c r="R7" s="10"/>
      <c r="S7" s="10"/>
      <c r="T7" s="10"/>
    </row>
    <row r="8" spans="1:20" s="6" customFormat="1" ht="33.75" customHeight="1" thickTop="1" thickBot="1" x14ac:dyDescent="0.3">
      <c r="B8" s="48">
        <f t="shared" ref="B8:B9" si="3">B7+1</f>
        <v>3</v>
      </c>
      <c r="C8" s="49" t="s">
        <v>63</v>
      </c>
      <c r="D8" s="48" t="s">
        <v>47</v>
      </c>
      <c r="E8" s="63" t="s">
        <v>36</v>
      </c>
      <c r="F8" s="48" t="s">
        <v>1</v>
      </c>
      <c r="G8" s="50">
        <v>150</v>
      </c>
      <c r="H8" s="50">
        <v>350</v>
      </c>
      <c r="I8" s="50">
        <v>419</v>
      </c>
      <c r="J8" s="66">
        <f>ROUND(AVERAGE('Расчет 3 - ЦЕПед'!$G8:$I8),2)</f>
        <v>306.33</v>
      </c>
      <c r="K8" s="66">
        <f>_xlfn.STDEV.S('Расчет 3 - ЦЕПед'!$G8:$I8)</f>
        <v>139.71518648068772</v>
      </c>
      <c r="L8" s="67">
        <f t="shared" si="1"/>
        <v>0.45609371096754392</v>
      </c>
      <c r="M8" s="66">
        <f t="shared" si="0"/>
        <v>150</v>
      </c>
      <c r="N8" s="66" t="str">
        <f t="shared" si="2"/>
        <v>не превышает среднее значение</v>
      </c>
      <c r="R8" s="10"/>
      <c r="S8" s="10"/>
      <c r="T8" s="10"/>
    </row>
    <row r="9" spans="1:20" s="6" customFormat="1" ht="48.75" thickTop="1" thickBot="1" x14ac:dyDescent="0.3">
      <c r="B9" s="48">
        <f t="shared" si="3"/>
        <v>4</v>
      </c>
      <c r="C9" s="49" t="s">
        <v>67</v>
      </c>
      <c r="D9" s="48" t="s">
        <v>47</v>
      </c>
      <c r="E9" s="63" t="s">
        <v>36</v>
      </c>
      <c r="F9" s="48" t="s">
        <v>1</v>
      </c>
      <c r="G9" s="50">
        <v>150</v>
      </c>
      <c r="H9" s="50">
        <v>350</v>
      </c>
      <c r="I9" s="50">
        <v>469</v>
      </c>
      <c r="J9" s="66">
        <f>ROUND(AVERAGE('Расчет 3 - ЦЕПед'!$G9:$I9),2)</f>
        <v>323</v>
      </c>
      <c r="K9" s="66">
        <f>_xlfn.STDEV.S('Расчет 3 - ЦЕПед'!$G9:$I9)</f>
        <v>161.20483863705829</v>
      </c>
      <c r="L9" s="67">
        <f t="shared" si="1"/>
        <v>0.49908618773083063</v>
      </c>
      <c r="M9" s="66">
        <f t="shared" si="0"/>
        <v>150</v>
      </c>
      <c r="N9" s="66" t="str">
        <f t="shared" si="2"/>
        <v>не превышает среднее значение</v>
      </c>
      <c r="R9" s="10"/>
      <c r="S9" s="10"/>
      <c r="T9" s="10"/>
    </row>
    <row r="10" spans="1:20" s="6" customFormat="1" ht="33.75" customHeight="1" thickTop="1" thickBot="1" x14ac:dyDescent="0.3">
      <c r="B10" s="48">
        <v>5</v>
      </c>
      <c r="C10" s="49" t="s">
        <v>64</v>
      </c>
      <c r="D10" s="48" t="s">
        <v>47</v>
      </c>
      <c r="E10" s="63" t="s">
        <v>36</v>
      </c>
      <c r="F10" s="48" t="s">
        <v>1</v>
      </c>
      <c r="G10" s="50">
        <v>150</v>
      </c>
      <c r="H10" s="50">
        <v>350</v>
      </c>
      <c r="I10" s="50">
        <v>300</v>
      </c>
      <c r="J10" s="66">
        <f>ROUND(AVERAGE('Расчет 3 - ЦЕПед'!$G10:$I10),2)</f>
        <v>266.67</v>
      </c>
      <c r="K10" s="66">
        <f>_xlfn.STDEV.S('Расчет 3 - ЦЕПед'!$G10:$I10)</f>
        <v>104.08329997330661</v>
      </c>
      <c r="L10" s="67">
        <f t="shared" si="1"/>
        <v>0.39030749605619908</v>
      </c>
      <c r="M10" s="66">
        <f t="shared" si="0"/>
        <v>150</v>
      </c>
      <c r="N10" s="66" t="str">
        <f t="shared" si="2"/>
        <v>не превышает среднее значение</v>
      </c>
      <c r="R10" s="10"/>
    </row>
    <row r="11" spans="1:20" s="6" customFormat="1" ht="33.75" customHeight="1" thickTop="1" thickBot="1" x14ac:dyDescent="0.3">
      <c r="B11" s="48">
        <v>6</v>
      </c>
      <c r="C11" s="49" t="s">
        <v>66</v>
      </c>
      <c r="D11" s="48" t="s">
        <v>47</v>
      </c>
      <c r="E11" s="63" t="s">
        <v>36</v>
      </c>
      <c r="F11" s="48" t="s">
        <v>1</v>
      </c>
      <c r="G11" s="50">
        <v>300</v>
      </c>
      <c r="H11" s="50">
        <v>400</v>
      </c>
      <c r="I11" s="50">
        <v>1231</v>
      </c>
      <c r="J11" s="66">
        <f>ROUND(AVERAGE('Расчет 3 - ЦЕПед'!$G11:$I11),2)</f>
        <v>643.66999999999996</v>
      </c>
      <c r="K11" s="66">
        <f>_xlfn.STDEV.S('Расчет 3 - ЦЕПед'!$G11:$I11)</f>
        <v>511.09718580063947</v>
      </c>
      <c r="L11" s="67">
        <f t="shared" si="1"/>
        <v>0.79403605232594265</v>
      </c>
      <c r="M11" s="66">
        <f t="shared" si="0"/>
        <v>300</v>
      </c>
      <c r="N11" s="66" t="str">
        <f t="shared" si="2"/>
        <v>не превышает среднее значение</v>
      </c>
    </row>
    <row r="12" spans="1:20" s="6" customFormat="1" ht="33.75" customHeight="1" thickTop="1" thickBot="1" x14ac:dyDescent="0.3">
      <c r="B12" s="48">
        <v>7</v>
      </c>
      <c r="C12" s="49" t="s">
        <v>65</v>
      </c>
      <c r="D12" s="48" t="s">
        <v>47</v>
      </c>
      <c r="E12" s="63" t="s">
        <v>36</v>
      </c>
      <c r="F12" s="48" t="s">
        <v>1</v>
      </c>
      <c r="G12" s="50">
        <v>300</v>
      </c>
      <c r="H12" s="50">
        <v>400</v>
      </c>
      <c r="I12" s="50">
        <v>1231</v>
      </c>
      <c r="J12" s="66">
        <f>ROUND(AVERAGE('Расчет 3 - ЦЕПед'!$G12:$I12),2)</f>
        <v>643.66999999999996</v>
      </c>
      <c r="K12" s="66">
        <f>_xlfn.STDEV.S('Расчет 3 - ЦЕПед'!$G12:$I12)</f>
        <v>511.09718580063947</v>
      </c>
      <c r="L12" s="67">
        <f t="shared" si="1"/>
        <v>0.79403605232594265</v>
      </c>
      <c r="M12" s="66">
        <f t="shared" si="0"/>
        <v>300</v>
      </c>
      <c r="N12" s="66" t="str">
        <f t="shared" si="2"/>
        <v>не превышает среднее значение</v>
      </c>
    </row>
    <row r="13" spans="1:20" s="6" customFormat="1" ht="48.75" thickTop="1" thickBot="1" x14ac:dyDescent="0.3">
      <c r="B13" s="48">
        <v>8</v>
      </c>
      <c r="C13" s="49" t="s">
        <v>69</v>
      </c>
      <c r="D13" s="48" t="s">
        <v>47</v>
      </c>
      <c r="E13" s="63" t="s">
        <v>36</v>
      </c>
      <c r="F13" s="48" t="s">
        <v>1</v>
      </c>
      <c r="G13" s="50">
        <v>500</v>
      </c>
      <c r="H13" s="50">
        <v>350</v>
      </c>
      <c r="I13" s="50">
        <v>807</v>
      </c>
      <c r="J13" s="66">
        <f>ROUND(AVERAGE('Расчет 3 - ЦЕПед'!$G13:$I13),2)</f>
        <v>552.33000000000004</v>
      </c>
      <c r="K13" s="66">
        <f>_xlfn.STDEV.S('Расчет 3 - ЦЕПед'!$G13:$I13)</f>
        <v>232.95135400622448</v>
      </c>
      <c r="L13" s="67">
        <f t="shared" ref="L13" si="4">K13/J13</f>
        <v>0.42176118263759793</v>
      </c>
      <c r="M13" s="66">
        <f t="shared" si="0"/>
        <v>500</v>
      </c>
      <c r="N13" s="66" t="str">
        <f t="shared" ref="N13" si="5">IF(AND(M13&gt;J13),"превышает среднее значение","не превышает среднее значение")</f>
        <v>не превышает среднее значение</v>
      </c>
    </row>
    <row r="14" spans="1:20" s="6" customFormat="1" ht="33.75" customHeight="1" thickTop="1" thickBot="1" x14ac:dyDescent="0.3">
      <c r="B14" s="48">
        <v>9</v>
      </c>
      <c r="C14" s="49" t="s">
        <v>68</v>
      </c>
      <c r="D14" s="48" t="s">
        <v>47</v>
      </c>
      <c r="E14" s="63" t="s">
        <v>36</v>
      </c>
      <c r="F14" s="48" t="s">
        <v>1</v>
      </c>
      <c r="G14" s="50">
        <v>250</v>
      </c>
      <c r="H14" s="50">
        <v>400</v>
      </c>
      <c r="I14" s="50">
        <v>712</v>
      </c>
      <c r="J14" s="66">
        <f>ROUND(AVERAGE('Расчет 3 - ЦЕПед'!$G14:$I14),2)</f>
        <v>454</v>
      </c>
      <c r="K14" s="66">
        <f>_xlfn.STDEV.S('Расчет 3 - ЦЕПед'!$G14:$I14)</f>
        <v>235.68623209682826</v>
      </c>
      <c r="L14" s="67">
        <f t="shared" ref="L14:L27" si="6">K14/J14</f>
        <v>0.51913266981680239</v>
      </c>
      <c r="M14" s="66">
        <f t="shared" si="0"/>
        <v>250</v>
      </c>
      <c r="N14" s="66" t="str">
        <f t="shared" ref="N14:N27" si="7">IF(AND(M14&gt;J14),"превышает среднее значение","не превышает среднее значение")</f>
        <v>не превышает среднее значение</v>
      </c>
    </row>
    <row r="15" spans="1:20" s="6" customFormat="1" ht="33.75" customHeight="1" thickTop="1" thickBot="1" x14ac:dyDescent="0.3">
      <c r="B15" s="48">
        <v>10</v>
      </c>
      <c r="C15" s="49" t="s">
        <v>52</v>
      </c>
      <c r="D15" s="48" t="s">
        <v>47</v>
      </c>
      <c r="E15" s="63" t="s">
        <v>36</v>
      </c>
      <c r="F15" s="48" t="s">
        <v>1</v>
      </c>
      <c r="G15" s="50">
        <v>300</v>
      </c>
      <c r="H15" s="50">
        <f>350+329+117</f>
        <v>796</v>
      </c>
      <c r="I15" s="50">
        <f>600+101</f>
        <v>701</v>
      </c>
      <c r="J15" s="66">
        <f>ROUND(AVERAGE('Расчет 3 - ЦЕПед'!$G15:$I15),2)</f>
        <v>599</v>
      </c>
      <c r="K15" s="66">
        <f>_xlfn.STDEV.S('Расчет 3 - ЦЕПед'!$G15:$I15)</f>
        <v>263.26222668662513</v>
      </c>
      <c r="L15" s="67">
        <f t="shared" si="6"/>
        <v>0.43950288261540088</v>
      </c>
      <c r="M15" s="66">
        <f t="shared" si="0"/>
        <v>300</v>
      </c>
      <c r="N15" s="66" t="str">
        <f t="shared" si="7"/>
        <v>не превышает среднее значение</v>
      </c>
    </row>
    <row r="16" spans="1:20" s="6" customFormat="1" ht="33.75" customHeight="1" thickTop="1" thickBot="1" x14ac:dyDescent="0.3">
      <c r="B16" s="48">
        <v>11</v>
      </c>
      <c r="C16" s="49" t="s">
        <v>70</v>
      </c>
      <c r="D16" s="48" t="s">
        <v>47</v>
      </c>
      <c r="E16" s="63" t="s">
        <v>36</v>
      </c>
      <c r="F16" s="48" t="s">
        <v>1</v>
      </c>
      <c r="G16" s="50">
        <v>150</v>
      </c>
      <c r="H16" s="50">
        <v>700</v>
      </c>
      <c r="I16" s="50">
        <v>850</v>
      </c>
      <c r="J16" s="66">
        <f>ROUND(AVERAGE('Расчет 3 - ЦЕПед'!$G16:$I16),2)</f>
        <v>566.66999999999996</v>
      </c>
      <c r="K16" s="66">
        <f>_xlfn.STDEV.S('Расчет 3 - ЦЕПед'!$G16:$I16)</f>
        <v>368.55573979159965</v>
      </c>
      <c r="L16" s="67">
        <f t="shared" si="6"/>
        <v>0.65038865616955133</v>
      </c>
      <c r="M16" s="66">
        <f t="shared" si="0"/>
        <v>150</v>
      </c>
      <c r="N16" s="66" t="str">
        <f t="shared" si="7"/>
        <v>не превышает среднее значение</v>
      </c>
    </row>
    <row r="17" spans="2:14" s="6" customFormat="1" ht="33.75" customHeight="1" thickTop="1" thickBot="1" x14ac:dyDescent="0.3">
      <c r="B17" s="48">
        <v>12</v>
      </c>
      <c r="C17" s="49" t="s">
        <v>48</v>
      </c>
      <c r="D17" s="48" t="s">
        <v>47</v>
      </c>
      <c r="E17" s="63" t="s">
        <v>36</v>
      </c>
      <c r="F17" s="48" t="s">
        <v>1</v>
      </c>
      <c r="G17" s="50">
        <v>500</v>
      </c>
      <c r="H17" s="50">
        <v>650</v>
      </c>
      <c r="I17" s="50">
        <v>391</v>
      </c>
      <c r="J17" s="66">
        <f>ROUND(AVERAGE('Расчет 3 - ЦЕПед'!$G17:$I17),2)</f>
        <v>513.66999999999996</v>
      </c>
      <c r="K17" s="66">
        <f>_xlfn.STDEV.S('Расчет 3 - ЦЕПед'!$G17:$I17)</f>
        <v>130.03973751639654</v>
      </c>
      <c r="L17" s="67">
        <f t="shared" si="6"/>
        <v>0.25315813171179269</v>
      </c>
      <c r="M17" s="66">
        <f t="shared" si="0"/>
        <v>500</v>
      </c>
      <c r="N17" s="66" t="str">
        <f t="shared" si="7"/>
        <v>не превышает среднее значение</v>
      </c>
    </row>
    <row r="18" spans="2:14" s="6" customFormat="1" ht="33.75" customHeight="1" thickTop="1" thickBot="1" x14ac:dyDescent="0.3">
      <c r="B18" s="48">
        <v>13</v>
      </c>
      <c r="C18" s="49" t="s">
        <v>71</v>
      </c>
      <c r="D18" s="48" t="s">
        <v>47</v>
      </c>
      <c r="E18" s="63" t="s">
        <v>36</v>
      </c>
      <c r="F18" s="48" t="s">
        <v>1</v>
      </c>
      <c r="G18" s="50">
        <v>100</v>
      </c>
      <c r="H18" s="50">
        <v>251</v>
      </c>
      <c r="I18" s="50">
        <v>361</v>
      </c>
      <c r="J18" s="66">
        <f>ROUND(AVERAGE('Расчет 3 - ЦЕПед'!$G18:$I18),2)</f>
        <v>237.33</v>
      </c>
      <c r="K18" s="66">
        <f>_xlfn.STDEV.S('Расчет 3 - ЦЕПед'!$G18:$I18)</f>
        <v>131.03561856737019</v>
      </c>
      <c r="L18" s="67">
        <f t="shared" si="6"/>
        <v>0.55212412492044916</v>
      </c>
      <c r="M18" s="66">
        <f t="shared" si="0"/>
        <v>100</v>
      </c>
      <c r="N18" s="66" t="str">
        <f t="shared" si="7"/>
        <v>не превышает среднее значение</v>
      </c>
    </row>
    <row r="19" spans="2:14" s="6" customFormat="1" ht="33.75" customHeight="1" thickTop="1" thickBot="1" x14ac:dyDescent="0.3">
      <c r="B19" s="48">
        <v>14</v>
      </c>
      <c r="C19" s="49" t="s">
        <v>49</v>
      </c>
      <c r="D19" s="48" t="s">
        <v>47</v>
      </c>
      <c r="E19" s="63" t="s">
        <v>36</v>
      </c>
      <c r="F19" s="48" t="s">
        <v>1</v>
      </c>
      <c r="G19" s="50">
        <v>150</v>
      </c>
      <c r="H19" s="50">
        <v>218</v>
      </c>
      <c r="I19" s="50">
        <v>144</v>
      </c>
      <c r="J19" s="66">
        <f>ROUND(AVERAGE('Расчет 3 - ЦЕПед'!$G19:$I19),2)</f>
        <v>170.67</v>
      </c>
      <c r="K19" s="66">
        <f>_xlfn.STDEV.S('Расчет 3 - ЦЕПед'!$G19:$I19)</f>
        <v>41.101500378128968</v>
      </c>
      <c r="L19" s="67">
        <f t="shared" si="6"/>
        <v>0.2408244001765335</v>
      </c>
      <c r="M19" s="66">
        <f t="shared" si="0"/>
        <v>150</v>
      </c>
      <c r="N19" s="66" t="str">
        <f t="shared" si="7"/>
        <v>не превышает среднее значение</v>
      </c>
    </row>
    <row r="20" spans="2:14" s="6" customFormat="1" ht="33.75" customHeight="1" thickTop="1" thickBot="1" x14ac:dyDescent="0.3">
      <c r="B20" s="48">
        <v>15</v>
      </c>
      <c r="C20" s="49" t="s">
        <v>50</v>
      </c>
      <c r="D20" s="48" t="s">
        <v>47</v>
      </c>
      <c r="E20" s="63" t="s">
        <v>36</v>
      </c>
      <c r="F20" s="48" t="s">
        <v>1</v>
      </c>
      <c r="G20" s="50">
        <v>150</v>
      </c>
      <c r="H20" s="50">
        <v>200</v>
      </c>
      <c r="I20" s="50">
        <v>96</v>
      </c>
      <c r="J20" s="66">
        <f>ROUND(AVERAGE('Расчет 3 - ЦЕПед'!$G20:$I20),2)</f>
        <v>148.66999999999999</v>
      </c>
      <c r="K20" s="66">
        <f>_xlfn.STDEV.S('Расчет 3 - ЦЕПед'!$G20:$I20)</f>
        <v>52.012818932772099</v>
      </c>
      <c r="L20" s="67">
        <f t="shared" si="6"/>
        <v>0.349854166494734</v>
      </c>
      <c r="M20" s="66">
        <f t="shared" si="0"/>
        <v>150</v>
      </c>
      <c r="N20" s="66" t="str">
        <f t="shared" si="7"/>
        <v>превышает среднее значение</v>
      </c>
    </row>
    <row r="21" spans="2:14" s="6" customFormat="1" ht="33.75" customHeight="1" thickTop="1" thickBot="1" x14ac:dyDescent="0.3">
      <c r="B21" s="48">
        <v>16</v>
      </c>
      <c r="C21" s="49" t="s">
        <v>51</v>
      </c>
      <c r="D21" s="48" t="s">
        <v>47</v>
      </c>
      <c r="E21" s="63" t="s">
        <v>36</v>
      </c>
      <c r="F21" s="48" t="s">
        <v>1</v>
      </c>
      <c r="G21" s="50">
        <v>150</v>
      </c>
      <c r="H21" s="50">
        <v>200</v>
      </c>
      <c r="I21" s="50">
        <v>98</v>
      </c>
      <c r="J21" s="66">
        <f>ROUND(AVERAGE('Расчет 3 - ЦЕПед'!$G21:$I21),2)</f>
        <v>149.33000000000001</v>
      </c>
      <c r="K21" s="66">
        <f>_xlfn.STDEV.S('Расчет 3 - ЦЕПед'!$G21:$I21)</f>
        <v>51.00326786916046</v>
      </c>
      <c r="L21" s="67">
        <f t="shared" si="6"/>
        <v>0.34154736402036068</v>
      </c>
      <c r="M21" s="66">
        <f t="shared" si="0"/>
        <v>150</v>
      </c>
      <c r="N21" s="66" t="str">
        <f t="shared" si="7"/>
        <v>превышает среднее значение</v>
      </c>
    </row>
    <row r="22" spans="2:14" s="6" customFormat="1" ht="33.75" customHeight="1" thickTop="1" thickBot="1" x14ac:dyDescent="0.3">
      <c r="B22" s="48">
        <v>17</v>
      </c>
      <c r="C22" s="49" t="s">
        <v>53</v>
      </c>
      <c r="D22" s="48" t="s">
        <v>47</v>
      </c>
      <c r="E22" s="63" t="s">
        <v>36</v>
      </c>
      <c r="F22" s="48" t="s">
        <v>1</v>
      </c>
      <c r="G22" s="50">
        <v>100</v>
      </c>
      <c r="H22" s="50">
        <v>83</v>
      </c>
      <c r="I22" s="50">
        <v>298</v>
      </c>
      <c r="J22" s="66">
        <f>ROUND(AVERAGE('Расчет 3 - ЦЕПед'!$G22:$I22),2)</f>
        <v>160.33000000000001</v>
      </c>
      <c r="K22" s="66">
        <f>_xlfn.STDEV.S('Расчет 3 - ЦЕПед'!$G22:$I22)</f>
        <v>119.5254505673722</v>
      </c>
      <c r="L22" s="67">
        <f t="shared" si="6"/>
        <v>0.74549647955698994</v>
      </c>
      <c r="M22" s="66">
        <f t="shared" si="0"/>
        <v>100</v>
      </c>
      <c r="N22" s="66" t="str">
        <f t="shared" si="7"/>
        <v>не превышает среднее значение</v>
      </c>
    </row>
    <row r="23" spans="2:14" s="6" customFormat="1" ht="33" thickTop="1" thickBot="1" x14ac:dyDescent="0.3">
      <c r="B23" s="48">
        <v>18</v>
      </c>
      <c r="C23" s="49" t="s">
        <v>54</v>
      </c>
      <c r="D23" s="48" t="s">
        <v>47</v>
      </c>
      <c r="E23" s="63" t="s">
        <v>36</v>
      </c>
      <c r="F23" s="48" t="s">
        <v>1</v>
      </c>
      <c r="G23" s="50">
        <v>350</v>
      </c>
      <c r="H23" s="50">
        <v>219</v>
      </c>
      <c r="I23" s="50">
        <v>1095</v>
      </c>
      <c r="J23" s="66">
        <f>ROUND(AVERAGE('Расчет 3 - ЦЕПед'!$G23:$I23),2)</f>
        <v>554.66999999999996</v>
      </c>
      <c r="K23" s="66">
        <f>_xlfn.STDEV.S('Расчет 3 - ЦЕПед'!$G23:$I23)</f>
        <v>472.50432096789689</v>
      </c>
      <c r="L23" s="67">
        <f t="shared" si="6"/>
        <v>0.85186565159085026</v>
      </c>
      <c r="M23" s="66">
        <f t="shared" si="0"/>
        <v>350</v>
      </c>
      <c r="N23" s="66" t="str">
        <f t="shared" si="7"/>
        <v>не превышает среднее значение</v>
      </c>
    </row>
    <row r="24" spans="2:14" s="6" customFormat="1" ht="33.75" customHeight="1" thickTop="1" thickBot="1" x14ac:dyDescent="0.3">
      <c r="B24" s="48">
        <v>19</v>
      </c>
      <c r="C24" s="49" t="s">
        <v>55</v>
      </c>
      <c r="D24" s="48" t="s">
        <v>47</v>
      </c>
      <c r="E24" s="63" t="s">
        <v>36</v>
      </c>
      <c r="F24" s="48" t="s">
        <v>1</v>
      </c>
      <c r="G24" s="50">
        <v>750</v>
      </c>
      <c r="H24" s="50">
        <v>2000</v>
      </c>
      <c r="I24" s="50">
        <v>2469</v>
      </c>
      <c r="J24" s="66">
        <f>ROUND(AVERAGE('Расчет 3 - ЦЕПед'!$G24:$I24),2)</f>
        <v>1739.67</v>
      </c>
      <c r="K24" s="66">
        <f>_xlfn.STDEV.S('Расчет 3 - ЦЕПед'!$G24:$I24)</f>
        <v>888.57770247364022</v>
      </c>
      <c r="L24" s="67">
        <f t="shared" si="6"/>
        <v>0.51077371137838801</v>
      </c>
      <c r="M24" s="66">
        <f t="shared" si="0"/>
        <v>750</v>
      </c>
      <c r="N24" s="66" t="str">
        <f t="shared" si="7"/>
        <v>не превышает среднее значение</v>
      </c>
    </row>
    <row r="25" spans="2:14" s="6" customFormat="1" ht="33.75" customHeight="1" thickTop="1" thickBot="1" x14ac:dyDescent="0.3">
      <c r="B25" s="48">
        <v>20</v>
      </c>
      <c r="C25" s="49" t="s">
        <v>72</v>
      </c>
      <c r="D25" s="48" t="s">
        <v>47</v>
      </c>
      <c r="E25" s="63" t="s">
        <v>36</v>
      </c>
      <c r="F25" s="48" t="s">
        <v>1</v>
      </c>
      <c r="G25" s="50">
        <v>750</v>
      </c>
      <c r="H25" s="50">
        <v>1600</v>
      </c>
      <c r="I25" s="50">
        <v>1544</v>
      </c>
      <c r="J25" s="66">
        <f>ROUND(AVERAGE('Расчет 3 - ЦЕПед'!$G25:$I25),2)</f>
        <v>1298</v>
      </c>
      <c r="K25" s="66">
        <f>_xlfn.STDEV.S('Расчет 3 - ЦЕПед'!$G25:$I25)</f>
        <v>475.40719388751364</v>
      </c>
      <c r="L25" s="67">
        <f t="shared" si="6"/>
        <v>0.36626132040640497</v>
      </c>
      <c r="M25" s="66">
        <f t="shared" si="0"/>
        <v>750</v>
      </c>
      <c r="N25" s="66" t="str">
        <f t="shared" si="7"/>
        <v>не превышает среднее значение</v>
      </c>
    </row>
    <row r="26" spans="2:14" s="6" customFormat="1" ht="33.75" customHeight="1" thickTop="1" thickBot="1" x14ac:dyDescent="0.3">
      <c r="B26" s="48">
        <v>21</v>
      </c>
      <c r="C26" s="49" t="s">
        <v>74</v>
      </c>
      <c r="D26" s="48" t="s">
        <v>47</v>
      </c>
      <c r="E26" s="63" t="s">
        <v>36</v>
      </c>
      <c r="F26" s="48" t="s">
        <v>1</v>
      </c>
      <c r="G26" s="50">
        <v>100</v>
      </c>
      <c r="H26" s="50">
        <v>118</v>
      </c>
      <c r="I26" s="50">
        <f>96+9</f>
        <v>105</v>
      </c>
      <c r="J26" s="66">
        <f>ROUND(AVERAGE('Расчет 3 - ЦЕПед'!$G26:$I26),2)</f>
        <v>107.67</v>
      </c>
      <c r="K26" s="66">
        <f>_xlfn.STDEV.S('Расчет 3 - ЦЕПед'!$G26:$I26)</f>
        <v>9.2915732431775702</v>
      </c>
      <c r="L26" s="67">
        <f t="shared" si="6"/>
        <v>8.6296770160467814E-2</v>
      </c>
      <c r="M26" s="66">
        <f t="shared" si="0"/>
        <v>100</v>
      </c>
      <c r="N26" s="66" t="str">
        <f t="shared" si="7"/>
        <v>не превышает среднее значение</v>
      </c>
    </row>
    <row r="27" spans="2:14" s="6" customFormat="1" ht="33.75" customHeight="1" thickTop="1" thickBot="1" x14ac:dyDescent="0.3">
      <c r="B27" s="48">
        <v>22</v>
      </c>
      <c r="C27" s="49" t="s">
        <v>56</v>
      </c>
      <c r="D27" s="48" t="s">
        <v>47</v>
      </c>
      <c r="E27" s="63" t="s">
        <v>36</v>
      </c>
      <c r="F27" s="48" t="s">
        <v>1</v>
      </c>
      <c r="G27" s="50">
        <v>100</v>
      </c>
      <c r="H27" s="50">
        <v>155</v>
      </c>
      <c r="I27" s="50">
        <v>0</v>
      </c>
      <c r="J27" s="66">
        <f>ROUND(AVERAGE('Расчет 3 - ЦЕПед'!$G27:$I27),2)</f>
        <v>85</v>
      </c>
      <c r="K27" s="66">
        <f>_xlfn.STDEV.S('Расчет 3 - ЦЕПед'!$G27:$I27)</f>
        <v>78.581168227508556</v>
      </c>
      <c r="L27" s="67">
        <f t="shared" si="6"/>
        <v>0.92448433208833591</v>
      </c>
      <c r="M27" s="66">
        <f t="shared" si="0"/>
        <v>100</v>
      </c>
      <c r="N27" s="66" t="str">
        <f t="shared" si="7"/>
        <v>превышает среднее значение</v>
      </c>
    </row>
    <row r="28" spans="2:14" s="6" customFormat="1" ht="33.75" customHeight="1" thickTop="1" thickBot="1" x14ac:dyDescent="0.3">
      <c r="B28" s="48">
        <v>20</v>
      </c>
      <c r="C28" s="49" t="s">
        <v>57</v>
      </c>
      <c r="D28" s="48" t="s">
        <v>47</v>
      </c>
      <c r="E28" s="63" t="s">
        <v>36</v>
      </c>
      <c r="F28" s="48" t="s">
        <v>1</v>
      </c>
      <c r="G28" s="50">
        <v>150</v>
      </c>
      <c r="H28" s="50">
        <v>169</v>
      </c>
      <c r="I28" s="50">
        <v>469</v>
      </c>
      <c r="J28" s="66">
        <f>ROUND(AVERAGE('Расчет 3 - ЦЕПед'!$G28:$I28),2)</f>
        <v>262.67</v>
      </c>
      <c r="K28" s="66">
        <f>_xlfn.STDEV.S('Расчет 3 - ЦЕПед'!$G28:$I28)</f>
        <v>178.94226256905696</v>
      </c>
      <c r="L28" s="67">
        <f t="shared" ref="L28:L30" si="8">K28/J28</f>
        <v>0.68124362344027467</v>
      </c>
      <c r="M28" s="66">
        <f t="shared" si="0"/>
        <v>150</v>
      </c>
      <c r="N28" s="66" t="str">
        <f t="shared" ref="N28:N30" si="9">IF(AND(M28&gt;J28),"превышает среднее значение","не превышает среднее значение")</f>
        <v>не превышает среднее значение</v>
      </c>
    </row>
    <row r="29" spans="2:14" s="6" customFormat="1" ht="33.75" customHeight="1" thickTop="1" thickBot="1" x14ac:dyDescent="0.3">
      <c r="B29" s="48">
        <v>21</v>
      </c>
      <c r="C29" s="49" t="s">
        <v>58</v>
      </c>
      <c r="D29" s="48" t="s">
        <v>47</v>
      </c>
      <c r="E29" s="63" t="s">
        <v>36</v>
      </c>
      <c r="F29" s="48" t="s">
        <v>1</v>
      </c>
      <c r="G29" s="50">
        <v>150</v>
      </c>
      <c r="H29" s="50">
        <v>534</v>
      </c>
      <c r="I29" s="50">
        <v>57</v>
      </c>
      <c r="J29" s="66">
        <f>ROUND(AVERAGE('Расчет 3 - ЦЕПед'!$G29:$I29),2)</f>
        <v>247</v>
      </c>
      <c r="K29" s="66">
        <f>_xlfn.STDEV.S('Расчет 3 - ЦЕПед'!$G29:$I29)</f>
        <v>252.86162223635282</v>
      </c>
      <c r="L29" s="67">
        <f t="shared" si="8"/>
        <v>1.0237312641147887</v>
      </c>
      <c r="M29" s="66">
        <f t="shared" si="0"/>
        <v>150</v>
      </c>
      <c r="N29" s="66" t="str">
        <f t="shared" si="9"/>
        <v>не превышает среднее значение</v>
      </c>
    </row>
    <row r="30" spans="2:14" s="6" customFormat="1" ht="33.75" customHeight="1" thickTop="1" thickBot="1" x14ac:dyDescent="0.3">
      <c r="B30" s="48">
        <v>22</v>
      </c>
      <c r="C30" s="49" t="s">
        <v>73</v>
      </c>
      <c r="D30" s="48" t="s">
        <v>47</v>
      </c>
      <c r="E30" s="63" t="s">
        <v>36</v>
      </c>
      <c r="F30" s="48" t="s">
        <v>1</v>
      </c>
      <c r="G30" s="50">
        <v>1000</v>
      </c>
      <c r="H30" s="50">
        <v>2100</v>
      </c>
      <c r="I30" s="50">
        <v>2302</v>
      </c>
      <c r="J30" s="66">
        <f>ROUND(AVERAGE('Расчет 3 - ЦЕПед'!$G30:$I30),2)</f>
        <v>1800.67</v>
      </c>
      <c r="K30" s="66">
        <f>_xlfn.STDEV.S('Расчет 3 - ЦЕПед'!$G30:$I30)</f>
        <v>700.71487306416793</v>
      </c>
      <c r="L30" s="67">
        <f t="shared" si="8"/>
        <v>0.38914119359136762</v>
      </c>
      <c r="M30" s="66">
        <f t="shared" si="0"/>
        <v>1000</v>
      </c>
      <c r="N30" s="66" t="str">
        <f t="shared" si="9"/>
        <v>не превышает среднее значение</v>
      </c>
    </row>
    <row r="31" spans="2:14" s="6" customFormat="1" ht="33.75" customHeight="1" thickTop="1" thickBot="1" x14ac:dyDescent="0.3">
      <c r="B31" s="48">
        <v>20</v>
      </c>
      <c r="C31" s="49" t="s">
        <v>59</v>
      </c>
      <c r="D31" s="48" t="s">
        <v>47</v>
      </c>
      <c r="E31" s="63" t="s">
        <v>36</v>
      </c>
      <c r="F31" s="48" t="s">
        <v>1</v>
      </c>
      <c r="G31" s="50">
        <v>650</v>
      </c>
      <c r="H31" s="50">
        <v>400</v>
      </c>
      <c r="I31" s="50">
        <v>847</v>
      </c>
      <c r="J31" s="66">
        <f>ROUND(AVERAGE('Расчет 3 - ЦЕПед'!$G31:$I31),2)</f>
        <v>632.33000000000004</v>
      </c>
      <c r="K31" s="66">
        <f>_xlfn.STDEV.S('Расчет 3 - ЦЕПед'!$G31:$I31)</f>
        <v>224.02306428877668</v>
      </c>
      <c r="L31" s="67">
        <f t="shared" ref="L31:L32" si="10">K31/J31</f>
        <v>0.35428188491575074</v>
      </c>
      <c r="M31" s="66">
        <f t="shared" si="0"/>
        <v>650</v>
      </c>
      <c r="N31" s="66" t="str">
        <f t="shared" ref="N31:N32" si="11">IF(AND(M31&gt;J31),"превышает среднее значение","не превышает среднее значение")</f>
        <v>превышает среднее значение</v>
      </c>
    </row>
    <row r="32" spans="2:14" s="6" customFormat="1" ht="33.75" customHeight="1" thickTop="1" thickBot="1" x14ac:dyDescent="0.3">
      <c r="B32" s="48">
        <v>21</v>
      </c>
      <c r="C32" s="49" t="s">
        <v>60</v>
      </c>
      <c r="D32" s="48" t="s">
        <v>47</v>
      </c>
      <c r="E32" s="63" t="s">
        <v>36</v>
      </c>
      <c r="F32" s="48" t="s">
        <v>1</v>
      </c>
      <c r="G32" s="50">
        <v>1000</v>
      </c>
      <c r="H32" s="50">
        <v>3034</v>
      </c>
      <c r="I32" s="50">
        <v>1794</v>
      </c>
      <c r="J32" s="66">
        <f>ROUND(AVERAGE('Расчет 3 - ЦЕПед'!$G32:$I32),2)</f>
        <v>1942.67</v>
      </c>
      <c r="K32" s="66">
        <f>_xlfn.STDEV.S('Расчет 3 - ЦЕПед'!$G32:$I32)</f>
        <v>1025.1172290686236</v>
      </c>
      <c r="L32" s="67">
        <f t="shared" si="10"/>
        <v>0.52768469635533755</v>
      </c>
      <c r="M32" s="66">
        <f t="shared" si="0"/>
        <v>1000</v>
      </c>
      <c r="N32" s="66" t="str">
        <f t="shared" si="11"/>
        <v>не превышает среднее значение</v>
      </c>
    </row>
    <row r="33" spans="2:14" s="6" customFormat="1" ht="33.75" customHeight="1" thickTop="1" thickBot="1" x14ac:dyDescent="0.3">
      <c r="B33" s="52"/>
      <c r="C33" s="53"/>
      <c r="D33" s="52"/>
      <c r="E33" s="54"/>
      <c r="F33" s="55"/>
      <c r="G33" s="56"/>
      <c r="H33" s="56"/>
      <c r="I33" s="56"/>
      <c r="J33" s="57"/>
      <c r="K33" s="57"/>
      <c r="L33" s="68" t="s">
        <v>16</v>
      </c>
      <c r="M33" s="68">
        <f>SUM(M6:M32)</f>
        <v>8700</v>
      </c>
      <c r="N33" s="66" t="s">
        <v>13</v>
      </c>
    </row>
    <row r="34" spans="2:14" ht="16.5" thickTop="1" x14ac:dyDescent="0.25">
      <c r="B34" s="58"/>
      <c r="C34" s="46"/>
      <c r="D34" s="46"/>
      <c r="E34" s="46"/>
      <c r="F34" s="46"/>
      <c r="G34" s="59"/>
      <c r="H34" s="59"/>
      <c r="I34" s="59"/>
      <c r="J34" s="46"/>
      <c r="K34" s="46"/>
      <c r="L34" s="60"/>
      <c r="M34" s="46"/>
      <c r="N34" s="62"/>
    </row>
    <row r="35" spans="2:14" x14ac:dyDescent="0.25">
      <c r="B35" s="58" t="s">
        <v>75</v>
      </c>
      <c r="C35" s="46"/>
      <c r="D35" s="46"/>
      <c r="E35" s="46"/>
      <c r="F35" s="46"/>
      <c r="G35" s="59"/>
      <c r="H35" s="59"/>
      <c r="I35" s="59"/>
      <c r="J35" s="46"/>
      <c r="K35" s="46"/>
      <c r="L35" s="60"/>
      <c r="M35" s="46"/>
      <c r="N35" s="62"/>
    </row>
    <row r="36" spans="2:14" x14ac:dyDescent="0.25">
      <c r="B36" s="3"/>
      <c r="G36" s="8"/>
      <c r="H36" s="8"/>
      <c r="I36" s="8"/>
      <c r="L36" s="5"/>
    </row>
    <row r="37" spans="2:14" ht="33.75" customHeight="1" x14ac:dyDescent="0.2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</row>
    <row r="38" spans="2:14" x14ac:dyDescent="0.25">
      <c r="B38" s="7"/>
      <c r="C38" s="7"/>
      <c r="D38" s="7"/>
      <c r="E38" s="7"/>
      <c r="F38" s="7"/>
      <c r="J38" s="7"/>
      <c r="K38" s="7"/>
      <c r="L38" s="7"/>
      <c r="M38" s="7"/>
      <c r="N38" s="42"/>
    </row>
  </sheetData>
  <mergeCells count="16">
    <mergeCell ref="B37:N37"/>
    <mergeCell ref="B2:N2"/>
    <mergeCell ref="C3:F3"/>
    <mergeCell ref="G3:I3"/>
    <mergeCell ref="J3:L3"/>
    <mergeCell ref="M3:N3"/>
    <mergeCell ref="B4:B5"/>
    <mergeCell ref="C4:C5"/>
    <mergeCell ref="D4:D5"/>
    <mergeCell ref="E4:E5"/>
    <mergeCell ref="F4:F5"/>
    <mergeCell ref="J4:J5"/>
    <mergeCell ref="K4:K5"/>
    <mergeCell ref="L4:L5"/>
    <mergeCell ref="M4:M5"/>
    <mergeCell ref="N4:N5"/>
  </mergeCells>
  <phoneticPr fontId="13" type="noConversion"/>
  <printOptions horizontalCentered="1"/>
  <pageMargins left="0.11811023622047245" right="0.11811023622047245" top="0.35433070866141736" bottom="0" header="0" footer="0"/>
  <pageSetup paperSize="9" scale="50" fitToHeight="0" orientation="landscape" r:id="rId1"/>
  <headerFooter>
    <oddFooter xml:space="preserve">&amp;Cстраница 3 из 4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4A880-EC81-4295-B408-AD9442A62463}">
  <sheetPr>
    <pageSetUpPr fitToPage="1"/>
  </sheetPr>
  <dimension ref="A1:X18"/>
  <sheetViews>
    <sheetView zoomScale="90" zoomScaleNormal="90" zoomScaleSheetLayoutView="80" zoomScalePageLayoutView="80" workbookViewId="0">
      <selection activeCell="J4" sqref="J4:M4"/>
    </sheetView>
  </sheetViews>
  <sheetFormatPr defaultRowHeight="15.75" x14ac:dyDescent="0.25"/>
  <cols>
    <col min="1" max="1" width="3" style="4" customWidth="1"/>
    <col min="2" max="2" width="7.140625" style="4" customWidth="1"/>
    <col min="3" max="3" width="35.5703125" style="4" customWidth="1"/>
    <col min="4" max="4" width="14.28515625" style="4" customWidth="1"/>
    <col min="5" max="6" width="9.85546875" style="4" customWidth="1"/>
    <col min="7" max="13" width="14.28515625" style="4" customWidth="1"/>
    <col min="14" max="17" width="20" style="4" customWidth="1"/>
    <col min="18" max="18" width="20" style="43" customWidth="1"/>
    <col min="19" max="19" width="3" style="4" customWidth="1"/>
    <col min="20" max="21" width="9.140625" style="4"/>
    <col min="22" max="22" width="15.5703125" style="4" bestFit="1" customWidth="1"/>
    <col min="23" max="23" width="12.7109375" style="4" bestFit="1" customWidth="1"/>
    <col min="24" max="24" width="14.42578125" style="4" bestFit="1" customWidth="1"/>
    <col min="25" max="16384" width="9.140625" style="4"/>
  </cols>
  <sheetData>
    <row r="1" spans="1:24" ht="16.5" thickBot="1" x14ac:dyDescent="0.3">
      <c r="A1" s="1"/>
      <c r="B1" s="1"/>
      <c r="C1" s="1"/>
      <c r="D1" s="1"/>
      <c r="E1" s="1"/>
      <c r="F1" s="2"/>
    </row>
    <row r="2" spans="1:24" ht="51.75" customHeight="1" thickTop="1" thickBot="1" x14ac:dyDescent="0.3">
      <c r="B2" s="72" t="s">
        <v>37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24" ht="25.5" customHeight="1" thickTop="1" thickBot="1" x14ac:dyDescent="0.3">
      <c r="B3" s="64"/>
      <c r="C3" s="73" t="s">
        <v>12</v>
      </c>
      <c r="D3" s="73"/>
      <c r="E3" s="73"/>
      <c r="F3" s="74"/>
      <c r="G3" s="75" t="s">
        <v>29</v>
      </c>
      <c r="H3" s="75"/>
      <c r="I3" s="75"/>
      <c r="J3" s="75"/>
      <c r="K3" s="75"/>
      <c r="L3" s="75"/>
      <c r="M3" s="75"/>
      <c r="N3" s="76" t="s">
        <v>22</v>
      </c>
      <c r="O3" s="76"/>
      <c r="P3" s="76"/>
      <c r="Q3" s="75" t="s">
        <v>23</v>
      </c>
      <c r="R3" s="75"/>
    </row>
    <row r="4" spans="1:24" ht="61.5" customHeight="1" thickTop="1" thickBot="1" x14ac:dyDescent="0.3">
      <c r="B4" s="75" t="s">
        <v>3</v>
      </c>
      <c r="C4" s="75" t="s">
        <v>11</v>
      </c>
      <c r="D4" s="75" t="s">
        <v>17</v>
      </c>
      <c r="E4" s="75" t="s">
        <v>0</v>
      </c>
      <c r="F4" s="75" t="s">
        <v>25</v>
      </c>
      <c r="G4" s="65" t="s">
        <v>40</v>
      </c>
      <c r="H4" s="65" t="s">
        <v>41</v>
      </c>
      <c r="I4" s="65" t="s">
        <v>42</v>
      </c>
      <c r="J4" s="69" t="s">
        <v>43</v>
      </c>
      <c r="K4" s="69" t="s">
        <v>44</v>
      </c>
      <c r="L4" s="69" t="s">
        <v>45</v>
      </c>
      <c r="M4" s="69" t="s">
        <v>46</v>
      </c>
      <c r="N4" s="75" t="s">
        <v>27</v>
      </c>
      <c r="O4" s="75" t="s">
        <v>26</v>
      </c>
      <c r="P4" s="75" t="s">
        <v>30</v>
      </c>
      <c r="Q4" s="75" t="s">
        <v>34</v>
      </c>
      <c r="R4" s="75" t="s">
        <v>13</v>
      </c>
    </row>
    <row r="5" spans="1:24" s="6" customFormat="1" ht="33.75" customHeight="1" thickTop="1" thickBot="1" x14ac:dyDescent="0.3">
      <c r="B5" s="75"/>
      <c r="C5" s="75"/>
      <c r="D5" s="75"/>
      <c r="E5" s="75"/>
      <c r="F5" s="75"/>
      <c r="G5" s="66">
        <f>SUMPRODUCT($E6:$E13,G6:G13)</f>
        <v>180000</v>
      </c>
      <c r="H5" s="66">
        <f t="shared" ref="H5:M5" si="0">SUMPRODUCT($E6:$E13,H6:H13)</f>
        <v>175100</v>
      </c>
      <c r="I5" s="66">
        <f t="shared" si="0"/>
        <v>170400</v>
      </c>
      <c r="J5" s="66">
        <f t="shared" si="0"/>
        <v>256000</v>
      </c>
      <c r="K5" s="66">
        <f t="shared" si="0"/>
        <v>219600</v>
      </c>
      <c r="L5" s="66">
        <f t="shared" si="0"/>
        <v>170400</v>
      </c>
      <c r="M5" s="66">
        <f t="shared" si="0"/>
        <v>216000</v>
      </c>
      <c r="N5" s="75"/>
      <c r="O5" s="75"/>
      <c r="P5" s="75"/>
      <c r="Q5" s="75"/>
      <c r="R5" s="75"/>
      <c r="V5" s="10"/>
      <c r="W5" s="10"/>
      <c r="X5" s="10"/>
    </row>
    <row r="6" spans="1:24" s="6" customFormat="1" ht="33.75" customHeight="1" thickTop="1" thickBot="1" x14ac:dyDescent="0.3">
      <c r="B6" s="48">
        <v>1</v>
      </c>
      <c r="C6" s="49" t="s">
        <v>8</v>
      </c>
      <c r="D6" s="48" t="s">
        <v>18</v>
      </c>
      <c r="E6" s="61">
        <v>2</v>
      </c>
      <c r="F6" s="48" t="s">
        <v>2</v>
      </c>
      <c r="G6" s="50">
        <v>63000</v>
      </c>
      <c r="H6" s="50">
        <v>57000</v>
      </c>
      <c r="I6" s="50">
        <v>58000</v>
      </c>
      <c r="J6" s="50">
        <v>80000</v>
      </c>
      <c r="K6" s="50">
        <v>70000</v>
      </c>
      <c r="L6" s="50">
        <v>59000</v>
      </c>
      <c r="M6" s="50">
        <v>60000</v>
      </c>
      <c r="N6" s="66">
        <f>ROUND(AVERAGE('Расчет 4 - ЦДЕП'!$G6:$M6),2)</f>
        <v>63857.14</v>
      </c>
      <c r="O6" s="66">
        <f>_xlfn.STDEV.S('Расчет 4 - ЦДЕП'!$G6:$M6)</f>
        <v>8355.2093815489679</v>
      </c>
      <c r="P6" s="67">
        <f>O6/N6</f>
        <v>0.1308422109344228</v>
      </c>
      <c r="Q6" s="66">
        <f>(INDEX(G6:M6,MATCH(MIN($G$5:$M$5),$G$5:$M$5,0)))*E6</f>
        <v>116000</v>
      </c>
      <c r="R6" s="66" t="str">
        <f>IF(AND(Q6&gt;N6*E6),"превышает среднее значение","не превышает среднее значение")</f>
        <v>не превышает среднее значение</v>
      </c>
      <c r="V6" s="10"/>
      <c r="W6" s="10"/>
      <c r="X6" s="10"/>
    </row>
    <row r="7" spans="1:24" s="6" customFormat="1" ht="33.75" customHeight="1" thickTop="1" thickBot="1" x14ac:dyDescent="0.3">
      <c r="B7" s="48">
        <f>B6+1</f>
        <v>2</v>
      </c>
      <c r="C7" s="49" t="s">
        <v>5</v>
      </c>
      <c r="D7" s="48" t="s">
        <v>19</v>
      </c>
      <c r="E7" s="61">
        <v>2</v>
      </c>
      <c r="F7" s="48" t="s">
        <v>2</v>
      </c>
      <c r="G7" s="50">
        <v>3000</v>
      </c>
      <c r="H7" s="50">
        <v>3700</v>
      </c>
      <c r="I7" s="50">
        <v>2800</v>
      </c>
      <c r="J7" s="50">
        <v>4500</v>
      </c>
      <c r="K7" s="50">
        <v>4800</v>
      </c>
      <c r="L7" s="50">
        <v>1800</v>
      </c>
      <c r="M7" s="50">
        <v>4500</v>
      </c>
      <c r="N7" s="66">
        <f>ROUND(AVERAGE('Расчет 4 - ЦДЕП'!$G7:$M7),2)</f>
        <v>3585.71</v>
      </c>
      <c r="O7" s="66">
        <f>_xlfn.STDEV.S('Расчет 4 - ЦДЕП'!$G7:$M7)</f>
        <v>1103.6735197037387</v>
      </c>
      <c r="P7" s="67">
        <f t="shared" ref="P7:P13" si="1">O7/N7</f>
        <v>0.30779776381908708</v>
      </c>
      <c r="Q7" s="66">
        <f t="shared" ref="Q7:Q13" si="2">(INDEX(G7:M7,MATCH(MIN($G$5:$M$5),$G$5:$M$5,0)))*E7</f>
        <v>5600</v>
      </c>
      <c r="R7" s="66" t="str">
        <f t="shared" ref="R7:R13" si="3">IF(AND(Q7&gt;N7*E7),"превышает среднее значение","не превышает среднее значение")</f>
        <v>не превышает среднее значение</v>
      </c>
      <c r="V7" s="10"/>
      <c r="W7" s="10"/>
      <c r="X7" s="10"/>
    </row>
    <row r="8" spans="1:24" s="6" customFormat="1" ht="33.75" customHeight="1" thickTop="1" thickBot="1" x14ac:dyDescent="0.3">
      <c r="B8" s="48">
        <f t="shared" ref="B8:B9" si="4">B7+1</f>
        <v>3</v>
      </c>
      <c r="C8" s="49" t="s">
        <v>6</v>
      </c>
      <c r="D8" s="48" t="s">
        <v>21</v>
      </c>
      <c r="E8" s="61">
        <v>1</v>
      </c>
      <c r="F8" s="48" t="s">
        <v>1</v>
      </c>
      <c r="G8" s="50">
        <v>5000</v>
      </c>
      <c r="H8" s="50">
        <v>4500</v>
      </c>
      <c r="I8" s="50">
        <v>4000</v>
      </c>
      <c r="J8" s="50">
        <v>8000</v>
      </c>
      <c r="K8" s="50">
        <v>7000</v>
      </c>
      <c r="L8" s="50">
        <v>4000</v>
      </c>
      <c r="M8" s="50">
        <v>8000</v>
      </c>
      <c r="N8" s="66">
        <f>ROUND(AVERAGE('Расчет 4 - ЦДЕП'!$G8:$M8),2)</f>
        <v>5785.71</v>
      </c>
      <c r="O8" s="66">
        <f>_xlfn.STDEV.S('Расчет 4 - ЦДЕП'!$G8:$M8)</f>
        <v>1822.4786888818678</v>
      </c>
      <c r="P8" s="67">
        <f t="shared" si="1"/>
        <v>0.31499654992764375</v>
      </c>
      <c r="Q8" s="66">
        <f t="shared" si="2"/>
        <v>4000</v>
      </c>
      <c r="R8" s="66" t="str">
        <f t="shared" si="3"/>
        <v>не превышает среднее значение</v>
      </c>
      <c r="V8" s="10"/>
      <c r="W8" s="10"/>
      <c r="X8" s="10"/>
    </row>
    <row r="9" spans="1:24" s="6" customFormat="1" ht="33.75" customHeight="1" thickTop="1" thickBot="1" x14ac:dyDescent="0.3">
      <c r="B9" s="48">
        <f t="shared" si="4"/>
        <v>4</v>
      </c>
      <c r="C9" s="49" t="s">
        <v>7</v>
      </c>
      <c r="D9" s="48" t="s">
        <v>20</v>
      </c>
      <c r="E9" s="61">
        <v>1</v>
      </c>
      <c r="F9" s="48" t="s">
        <v>1</v>
      </c>
      <c r="G9" s="50">
        <v>25000</v>
      </c>
      <c r="H9" s="50">
        <v>32000</v>
      </c>
      <c r="I9" s="50">
        <v>30000</v>
      </c>
      <c r="J9" s="50">
        <v>50000</v>
      </c>
      <c r="K9" s="50">
        <v>40000</v>
      </c>
      <c r="L9" s="50">
        <v>30000</v>
      </c>
      <c r="M9" s="50">
        <v>50000</v>
      </c>
      <c r="N9" s="66">
        <f>ROUND(AVERAGE('Расчет 4 - ЦДЕП'!$G9:$M9),2)</f>
        <v>36714.29</v>
      </c>
      <c r="O9" s="66">
        <f>_xlfn.STDEV.S('Расчет 4 - ЦДЕП'!$G9:$M9)</f>
        <v>10111.285538352444</v>
      </c>
      <c r="P9" s="67">
        <f t="shared" si="1"/>
        <v>0.27540463232034296</v>
      </c>
      <c r="Q9" s="66">
        <f t="shared" si="2"/>
        <v>30000</v>
      </c>
      <c r="R9" s="66" t="str">
        <f t="shared" si="3"/>
        <v>не превышает среднее значение</v>
      </c>
      <c r="V9" s="10"/>
      <c r="W9" s="10"/>
      <c r="X9" s="10"/>
    </row>
    <row r="10" spans="1:24" s="6" customFormat="1" ht="33.75" customHeight="1" thickTop="1" thickBot="1" x14ac:dyDescent="0.3">
      <c r="B10" s="48">
        <v>5</v>
      </c>
      <c r="C10" s="49" t="s">
        <v>9</v>
      </c>
      <c r="D10" s="48" t="s">
        <v>10</v>
      </c>
      <c r="E10" s="61">
        <v>1</v>
      </c>
      <c r="F10" s="48" t="s">
        <v>10</v>
      </c>
      <c r="G10" s="50">
        <v>3000</v>
      </c>
      <c r="H10" s="50">
        <v>3700</v>
      </c>
      <c r="I10" s="50">
        <v>2800</v>
      </c>
      <c r="J10" s="50">
        <v>5000</v>
      </c>
      <c r="K10" s="50">
        <v>2000</v>
      </c>
      <c r="L10" s="50">
        <v>2800</v>
      </c>
      <c r="M10" s="50">
        <v>5000</v>
      </c>
      <c r="N10" s="66">
        <f>ROUND(AVERAGE('Расчет 4 - ЦДЕП'!$G10:$M10),2)</f>
        <v>3471.43</v>
      </c>
      <c r="O10" s="66">
        <f>_xlfn.STDEV.S('Расчет 4 - ЦДЕП'!$G10:$M10)</f>
        <v>1155.7310611531932</v>
      </c>
      <c r="P10" s="67">
        <f t="shared" si="1"/>
        <v>0.33292650612375685</v>
      </c>
      <c r="Q10" s="66">
        <f t="shared" si="2"/>
        <v>2800</v>
      </c>
      <c r="R10" s="66" t="str">
        <f t="shared" si="3"/>
        <v>не превышает среднее значение</v>
      </c>
      <c r="V10" s="10"/>
    </row>
    <row r="11" spans="1:24" s="6" customFormat="1" ht="33.75" customHeight="1" thickTop="1" thickBot="1" x14ac:dyDescent="0.3">
      <c r="B11" s="48" t="s">
        <v>10</v>
      </c>
      <c r="C11" s="49" t="s">
        <v>9</v>
      </c>
      <c r="D11" s="48" t="s">
        <v>10</v>
      </c>
      <c r="E11" s="61">
        <v>1</v>
      </c>
      <c r="F11" s="51" t="s">
        <v>10</v>
      </c>
      <c r="G11" s="50">
        <v>5000</v>
      </c>
      <c r="H11" s="50">
        <v>4500</v>
      </c>
      <c r="I11" s="50">
        <v>4000</v>
      </c>
      <c r="J11" s="50">
        <v>8000</v>
      </c>
      <c r="K11" s="50">
        <v>7000</v>
      </c>
      <c r="L11" s="50">
        <v>4000</v>
      </c>
      <c r="M11" s="50">
        <v>8000</v>
      </c>
      <c r="N11" s="66">
        <f>ROUND(AVERAGE('Расчет 4 - ЦДЕП'!$G11:$M11),2)</f>
        <v>5785.71</v>
      </c>
      <c r="O11" s="66">
        <f>_xlfn.STDEV.S('Расчет 4 - ЦДЕП'!$G11:$M11)</f>
        <v>1822.4786888818678</v>
      </c>
      <c r="P11" s="67">
        <f t="shared" si="1"/>
        <v>0.31499654992764375</v>
      </c>
      <c r="Q11" s="66">
        <f t="shared" si="2"/>
        <v>4000</v>
      </c>
      <c r="R11" s="66" t="str">
        <f t="shared" si="3"/>
        <v>не превышает среднее значение</v>
      </c>
    </row>
    <row r="12" spans="1:24" s="6" customFormat="1" ht="33.75" customHeight="1" thickTop="1" thickBot="1" x14ac:dyDescent="0.3">
      <c r="B12" s="48" t="s">
        <v>10</v>
      </c>
      <c r="C12" s="49" t="s">
        <v>9</v>
      </c>
      <c r="D12" s="48" t="s">
        <v>10</v>
      </c>
      <c r="E12" s="61">
        <v>1</v>
      </c>
      <c r="F12" s="51" t="s">
        <v>10</v>
      </c>
      <c r="G12" s="50">
        <v>5000</v>
      </c>
      <c r="H12" s="50">
        <v>4500</v>
      </c>
      <c r="I12" s="50">
        <v>4000</v>
      </c>
      <c r="J12" s="50">
        <v>8000</v>
      </c>
      <c r="K12" s="50">
        <v>7000</v>
      </c>
      <c r="L12" s="50">
        <v>4000</v>
      </c>
      <c r="M12" s="50">
        <v>8000</v>
      </c>
      <c r="N12" s="66">
        <f>ROUND(AVERAGE('Расчет 4 - ЦДЕП'!$G12:$M12),2)</f>
        <v>5785.71</v>
      </c>
      <c r="O12" s="66">
        <f>_xlfn.STDEV.S('Расчет 4 - ЦДЕП'!$G12:$M12)</f>
        <v>1822.4786888818678</v>
      </c>
      <c r="P12" s="67">
        <f t="shared" si="1"/>
        <v>0.31499654992764375</v>
      </c>
      <c r="Q12" s="66">
        <f t="shared" si="2"/>
        <v>4000</v>
      </c>
      <c r="R12" s="66" t="str">
        <f t="shared" si="3"/>
        <v>не превышает среднее значение</v>
      </c>
    </row>
    <row r="13" spans="1:24" s="6" customFormat="1" ht="33.75" customHeight="1" thickTop="1" thickBot="1" x14ac:dyDescent="0.3">
      <c r="B13" s="48" t="s">
        <v>10</v>
      </c>
      <c r="C13" s="49" t="s">
        <v>9</v>
      </c>
      <c r="D13" s="48" t="s">
        <v>10</v>
      </c>
      <c r="E13" s="61">
        <v>1</v>
      </c>
      <c r="F13" s="51" t="s">
        <v>10</v>
      </c>
      <c r="G13" s="50">
        <v>5000</v>
      </c>
      <c r="H13" s="50">
        <v>4500</v>
      </c>
      <c r="I13" s="50">
        <v>4000</v>
      </c>
      <c r="J13" s="50">
        <v>8000</v>
      </c>
      <c r="K13" s="50">
        <v>7000</v>
      </c>
      <c r="L13" s="50">
        <v>4000</v>
      </c>
      <c r="M13" s="50">
        <v>8000</v>
      </c>
      <c r="N13" s="66">
        <f>ROUND(AVERAGE('Расчет 4 - ЦДЕП'!$G13:$M13),2)</f>
        <v>5785.71</v>
      </c>
      <c r="O13" s="66">
        <f>_xlfn.STDEV.S('Расчет 4 - ЦДЕП'!$G13:$M13)</f>
        <v>1822.4786888818678</v>
      </c>
      <c r="P13" s="67">
        <f t="shared" si="1"/>
        <v>0.31499654992764375</v>
      </c>
      <c r="Q13" s="66">
        <f t="shared" si="2"/>
        <v>4000</v>
      </c>
      <c r="R13" s="66" t="str">
        <f t="shared" si="3"/>
        <v>не превышает среднее значение</v>
      </c>
    </row>
    <row r="14" spans="1:24" s="6" customFormat="1" ht="33.75" customHeight="1" thickTop="1" thickBot="1" x14ac:dyDescent="0.3">
      <c r="B14" s="52"/>
      <c r="C14" s="53"/>
      <c r="D14" s="52"/>
      <c r="E14" s="54"/>
      <c r="F14" s="55"/>
      <c r="G14" s="56"/>
      <c r="H14" s="56"/>
      <c r="I14" s="56"/>
      <c r="J14" s="56"/>
      <c r="K14" s="56"/>
      <c r="L14" s="56"/>
      <c r="M14" s="56"/>
      <c r="N14" s="57"/>
      <c r="O14" s="57"/>
      <c r="P14" s="68" t="s">
        <v>38</v>
      </c>
      <c r="Q14" s="68">
        <f>SUM(Q6:Q13)</f>
        <v>170400</v>
      </c>
      <c r="R14" s="66" t="s">
        <v>13</v>
      </c>
    </row>
    <row r="15" spans="1:24" ht="16.5" thickTop="1" x14ac:dyDescent="0.25">
      <c r="B15" s="3"/>
      <c r="G15" s="8"/>
      <c r="H15" s="8"/>
      <c r="I15" s="8"/>
      <c r="J15" s="8"/>
      <c r="K15" s="8"/>
      <c r="L15" s="8"/>
      <c r="M15" s="8"/>
      <c r="P15" s="5"/>
    </row>
    <row r="16" spans="1:24" ht="33.75" customHeight="1" x14ac:dyDescent="0.25">
      <c r="B16" s="58" t="s">
        <v>39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</row>
    <row r="17" spans="2:18" x14ac:dyDescent="0.25">
      <c r="B17" s="7"/>
      <c r="C17" s="7"/>
      <c r="D17" s="7"/>
      <c r="E17" s="7"/>
      <c r="F17" s="7"/>
      <c r="N17" s="7"/>
      <c r="O17" s="7"/>
      <c r="P17" s="7"/>
      <c r="Q17" s="7"/>
      <c r="R17" s="42"/>
    </row>
    <row r="18" spans="2:18" x14ac:dyDescent="0.25">
      <c r="J18" s="9"/>
    </row>
  </sheetData>
  <mergeCells count="15">
    <mergeCell ref="N4:N5"/>
    <mergeCell ref="O4:O5"/>
    <mergeCell ref="P4:P5"/>
    <mergeCell ref="Q4:Q5"/>
    <mergeCell ref="R4:R5"/>
    <mergeCell ref="B4:B5"/>
    <mergeCell ref="C4:C5"/>
    <mergeCell ref="D4:D5"/>
    <mergeCell ref="E4:E5"/>
    <mergeCell ref="F4:F5"/>
    <mergeCell ref="B2:R2"/>
    <mergeCell ref="C3:F3"/>
    <mergeCell ref="G3:M3"/>
    <mergeCell ref="N3:P3"/>
    <mergeCell ref="Q3:R3"/>
  </mergeCells>
  <printOptions horizontalCentered="1"/>
  <pageMargins left="0.11811023622047245" right="0.11811023622047245" top="0.35433070866141736" bottom="0" header="0" footer="0"/>
  <pageSetup paperSize="9" scale="51" fitToHeight="0" orientation="landscape" r:id="rId1"/>
  <headerFooter>
    <oddFooter xml:space="preserve">&amp;Cстраница 4 из 4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Выбор расчета</vt:lpstr>
      <vt:lpstr>Расчет 1 - НМЦед</vt:lpstr>
      <vt:lpstr>Расчет 2 - НМЦД</vt:lpstr>
      <vt:lpstr>Расчет 3 - ЦЕПед</vt:lpstr>
      <vt:lpstr>Расчет 4 - ЦДЕП</vt:lpstr>
      <vt:lpstr>'Выбор расчета'!Область_печати</vt:lpstr>
      <vt:lpstr>'Расчет 1 - НМЦед'!Область_печати</vt:lpstr>
      <vt:lpstr>'Расчет 2 - НМЦД'!Область_печати</vt:lpstr>
      <vt:lpstr>'Расчет 3 - ЦЕПед'!Область_печати</vt:lpstr>
      <vt:lpstr>'Расчет 4 - ЦДЕП'!Область_печати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Корнейчук Наталья Владимировна</cp:lastModifiedBy>
  <cp:lastPrinted>2025-03-13T08:27:24Z</cp:lastPrinted>
  <dcterms:created xsi:type="dcterms:W3CDTF">2014-01-15T18:15:09Z</dcterms:created>
  <dcterms:modified xsi:type="dcterms:W3CDTF">2026-06-15T08:49:02Z</dcterms:modified>
</cp:coreProperties>
</file>