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1860" yWindow="1860" windowWidth="20730" windowHeight="11760"/>
  </bookViews>
  <sheets>
    <sheet name="Лист1" sheetId="1" r:id="rId1"/>
  </sheets>
  <calcPr calcId="125725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R31" i="1"/>
  <c r="O38"/>
  <c r="O37"/>
  <c r="O36"/>
  <c r="O35"/>
  <c r="O34"/>
  <c r="O33"/>
  <c r="O32"/>
  <c r="O31"/>
  <c r="O30"/>
  <c r="O29"/>
  <c r="O28"/>
  <c r="O27"/>
  <c r="O26"/>
  <c r="O25"/>
  <c r="O24"/>
  <c r="P24" s="1"/>
  <c r="O23"/>
  <c r="O22"/>
  <c r="O21"/>
  <c r="O20"/>
  <c r="O19"/>
  <c r="O18"/>
  <c r="O17"/>
  <c r="P17" s="1"/>
  <c r="O16"/>
  <c r="O15"/>
  <c r="O14"/>
  <c r="O13"/>
  <c r="P13" s="1"/>
  <c r="O12"/>
  <c r="P14"/>
  <c r="P15"/>
  <c r="P16"/>
  <c r="P18"/>
  <c r="P19"/>
  <c r="P20"/>
  <c r="P21"/>
  <c r="P22"/>
  <c r="P23"/>
  <c r="P25"/>
  <c r="P26"/>
  <c r="P27"/>
  <c r="P28"/>
  <c r="P29"/>
  <c r="P30"/>
  <c r="P31"/>
  <c r="P32"/>
  <c r="P33"/>
  <c r="P34"/>
  <c r="P35"/>
  <c r="P36"/>
  <c r="P37"/>
  <c r="P38"/>
  <c r="P12"/>
  <c r="T12" s="1"/>
  <c r="R12"/>
  <c r="N12"/>
  <c r="T38"/>
  <c r="R38"/>
  <c r="L38"/>
  <c r="M38" s="1"/>
  <c r="N38"/>
  <c r="R37"/>
  <c r="N37"/>
  <c r="T37" s="1"/>
  <c r="L37"/>
  <c r="L36"/>
  <c r="R16"/>
  <c r="T16" s="1"/>
  <c r="R17"/>
  <c r="R18"/>
  <c r="R19"/>
  <c r="R20"/>
  <c r="R21"/>
  <c r="R22"/>
  <c r="R23"/>
  <c r="R24"/>
  <c r="R25"/>
  <c r="R26"/>
  <c r="R27"/>
  <c r="R28"/>
  <c r="R29"/>
  <c r="R30"/>
  <c r="R32"/>
  <c r="R33"/>
  <c r="R34"/>
  <c r="R35"/>
  <c r="R36"/>
  <c r="N17"/>
  <c r="N18"/>
  <c r="N19"/>
  <c r="N20"/>
  <c r="T20" s="1"/>
  <c r="N21"/>
  <c r="T21" s="1"/>
  <c r="N22"/>
  <c r="N23"/>
  <c r="N24"/>
  <c r="N25"/>
  <c r="T25" s="1"/>
  <c r="N26"/>
  <c r="N27"/>
  <c r="N28"/>
  <c r="T28" s="1"/>
  <c r="N29"/>
  <c r="N30"/>
  <c r="N31"/>
  <c r="N32"/>
  <c r="T32" s="1"/>
  <c r="N33"/>
  <c r="N34"/>
  <c r="N35"/>
  <c r="N36"/>
  <c r="T36" s="1"/>
  <c r="L17"/>
  <c r="L18"/>
  <c r="L19"/>
  <c r="L20"/>
  <c r="M20" s="1"/>
  <c r="L21"/>
  <c r="L22"/>
  <c r="L23"/>
  <c r="L24"/>
  <c r="M24" s="1"/>
  <c r="L25"/>
  <c r="M25" s="1"/>
  <c r="L26"/>
  <c r="M26" s="1"/>
  <c r="L27"/>
  <c r="L28"/>
  <c r="M28" s="1"/>
  <c r="L29"/>
  <c r="L30"/>
  <c r="L31"/>
  <c r="L32"/>
  <c r="M32" s="1"/>
  <c r="L33"/>
  <c r="M33" s="1"/>
  <c r="L34"/>
  <c r="L35"/>
  <c r="L16"/>
  <c r="M16" s="1"/>
  <c r="N16"/>
  <c r="R13"/>
  <c r="R14"/>
  <c r="R15"/>
  <c r="N13"/>
  <c r="N14"/>
  <c r="N15"/>
  <c r="L13"/>
  <c r="L14"/>
  <c r="L15"/>
  <c r="L12"/>
  <c r="T33" l="1"/>
  <c r="T31"/>
  <c r="T26"/>
  <c r="T23"/>
  <c r="T17"/>
  <c r="M37"/>
  <c r="M36"/>
  <c r="T35"/>
  <c r="M35"/>
  <c r="T34"/>
  <c r="M34"/>
  <c r="M31"/>
  <c r="T30"/>
  <c r="T29"/>
  <c r="M30"/>
  <c r="M29"/>
  <c r="M27"/>
  <c r="T27"/>
  <c r="T24"/>
  <c r="M23"/>
  <c r="T22"/>
  <c r="M22"/>
  <c r="M21"/>
  <c r="T19"/>
  <c r="M19"/>
  <c r="T18"/>
  <c r="M18"/>
  <c r="M17"/>
  <c r="T15"/>
  <c r="M13"/>
  <c r="T13"/>
  <c r="M15"/>
  <c r="T14"/>
  <c r="M14"/>
  <c r="M12"/>
  <c r="T39" l="1"/>
</calcChain>
</file>

<file path=xl/sharedStrings.xml><?xml version="1.0" encoding="utf-8"?>
<sst xmlns="http://schemas.openxmlformats.org/spreadsheetml/2006/main" count="94" uniqueCount="65">
  <si>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</si>
  <si>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</si>
  <si>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</si>
  <si>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</si>
  <si>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</si>
  <si>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</si>
  <si>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</si>
  <si>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</si>
  <si>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</si>
  <si>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</si>
  <si>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</si>
  <si>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</si>
  <si>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</si>
  <si>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</si>
  <si>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</si>
  <si>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</si>
  <si>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</si>
  <si>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шт</t>
  </si>
  <si>
    <t>Поставщик 1</t>
  </si>
  <si>
    <t>Поставщик 2</t>
  </si>
  <si>
    <t>Поставщик 3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</si>
  <si>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</si>
  <si>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</si>
  <si>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</si>
  <si>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</si>
  <si>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</si>
  <si>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</si>
  <si>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Вес.т</t>
  </si>
  <si>
    <t>Средняя стоимость доставки Заказчика 1 т продукции с НДС</t>
  </si>
  <si>
    <t>Стоимость доставки с НДС</t>
  </si>
  <si>
    <t xml:space="preserve">Суммарная максимальная стоимость закупки с НДС и доставкой </t>
  </si>
  <si>
    <t>Поставщик 4</t>
  </si>
  <si>
    <t>Поставщик 5</t>
  </si>
  <si>
    <t>кг</t>
  </si>
  <si>
    <t>Набивка сальниковая АФТ 18мм</t>
  </si>
  <si>
    <t>Набивка сальниковая АФТ 14мм</t>
  </si>
  <si>
    <t>Набивка сальниковая АФТ 12мм</t>
  </si>
  <si>
    <t>Набивка сальниковая АФТ 10мм</t>
  </si>
  <si>
    <t>Набивка сальниковая АФТ 8мм</t>
  </si>
  <si>
    <t>Набивка сальниковая АП-31 10мм</t>
  </si>
  <si>
    <t>Набивка сальниковая АГИ 12*12</t>
  </si>
  <si>
    <t>Набивка сальниковая АГИ 18*18</t>
  </si>
  <si>
    <t>Паронит ПОН-Б 3,0мм 1500х1000</t>
  </si>
  <si>
    <t>Паронит ПОН-Б 2,0мм 1500х1000</t>
  </si>
  <si>
    <t>Фторопласт стержневой 30х1000</t>
  </si>
  <si>
    <t>Фторопласт стержневой 20х1000</t>
  </si>
  <si>
    <t>Паронит ПОН-Б 5,0мм 1500х1000</t>
  </si>
  <si>
    <t>Паронит ПОН-Б 4,0мм 1500х1000</t>
  </si>
  <si>
    <t>Паронит ПОН-Б 1,0мм 1500х1000</t>
  </si>
  <si>
    <t>Пластина ТМКЩ-С 50мм (720х720)</t>
  </si>
  <si>
    <t>Пластина ТМКЩ-С 10мм (720х720)</t>
  </si>
  <si>
    <t>Ремень клиновый А-900</t>
  </si>
  <si>
    <t>Ремень клиновый А-1400</t>
  </si>
  <si>
    <t>Ремень клиновый А-1600</t>
  </si>
  <si>
    <t>Ремень клиновый А-2500</t>
  </si>
  <si>
    <t>Ремень клиновый профиль С(В), L=4000мм</t>
  </si>
  <si>
    <t>Рукав I-9-0,63-ХЛ (ацитилен,пропан)</t>
  </si>
  <si>
    <t>Рукав III-9-2,0-ХЛ (кислород)</t>
  </si>
  <si>
    <t>Рукав высокого давления РВД 2SN DN25 P=210 L=2300мм</t>
  </si>
  <si>
    <t>м</t>
  </si>
  <si>
    <t>поставку РТИ-асботехнических  для нужд ООО "УСТЬ-КУТСКИЕ ТЕПЛОВЫЕ СЕТИ И КОТЕЛЬНЫЕ"</t>
  </si>
  <si>
    <t>Вставка в плиту NT150 S DN150/50</t>
  </si>
  <si>
    <t>Дата подготовки обоснования НМЦК:24.04.2026</t>
  </si>
  <si>
    <t>Манжета армированя (САЛЬНИК)</t>
  </si>
  <si>
    <t>На основании проведенного анализа рынка и расчетов, НМЦК с доставкой составляет: 299 919 рублей.</t>
  </si>
</sst>
</file>

<file path=xl/styles.xml><?xml version="1.0" encoding="utf-8"?>
<styleSheet xmlns="http://schemas.openxmlformats.org/spreadsheetml/2006/main">
  <numFmts count="5">
    <numFmt numFmtId="42" formatCode="_-* #,##0\ &quot;₽&quot;_-;\-* #,##0\ &quot;₽&quot;_-;_-* &quot;-&quot;\ &quot;₽&quot;_-;_-@_-"/>
    <numFmt numFmtId="164" formatCode="#,##0.00#########"/>
    <numFmt numFmtId="165" formatCode="0.000"/>
    <numFmt numFmtId="166" formatCode="#,##0.0000"/>
    <numFmt numFmtId="167" formatCode="0.0"/>
  </numFmts>
  <fonts count="15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thin">
        <color auto="1"/>
      </top>
      <bottom style="medium">
        <color rgb="FFC0C0C0"/>
      </bottom>
      <diagonal/>
    </border>
    <border>
      <left/>
      <right/>
      <top style="thin">
        <color auto="1"/>
      </top>
      <bottom style="medium">
        <color rgb="FFC0C0C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 applyAlignment="0"/>
  </cellStyleXfs>
  <cellXfs count="79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top" wrapText="1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2" fontId="5" fillId="0" borderId="14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165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2" fontId="11" fillId="0" borderId="6" xfId="0" applyNumberFormat="1" applyFont="1" applyFill="1" applyBorder="1" applyAlignment="1">
      <alignment horizontal="center" vertical="center" wrapText="1"/>
    </xf>
    <xf numFmtId="2" fontId="11" fillId="0" borderId="6" xfId="0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vertical="top"/>
    </xf>
    <xf numFmtId="2" fontId="11" fillId="0" borderId="14" xfId="0" applyNumberFormat="1" applyFont="1" applyFill="1" applyBorder="1" applyAlignment="1">
      <alignment vertical="top"/>
    </xf>
    <xf numFmtId="165" fontId="11" fillId="0" borderId="14" xfId="0" applyNumberFormat="1" applyFont="1" applyFill="1" applyBorder="1" applyAlignment="1">
      <alignment vertical="top"/>
    </xf>
    <xf numFmtId="42" fontId="11" fillId="0" borderId="14" xfId="0" applyNumberFormat="1" applyFont="1" applyFill="1" applyBorder="1" applyAlignment="1">
      <alignment horizontal="center" vertical="top"/>
    </xf>
    <xf numFmtId="165" fontId="11" fillId="0" borderId="14" xfId="0" applyNumberFormat="1" applyFont="1" applyFill="1" applyBorder="1" applyAlignment="1">
      <alignment horizontal="right" vertical="center"/>
    </xf>
    <xf numFmtId="167" fontId="11" fillId="0" borderId="14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1" fontId="11" fillId="0" borderId="14" xfId="0" applyNumberFormat="1" applyFont="1" applyFill="1" applyBorder="1" applyAlignment="1">
      <alignment vertical="top"/>
    </xf>
    <xf numFmtId="166" fontId="11" fillId="0" borderId="14" xfId="0" applyNumberFormat="1" applyFont="1" applyFill="1" applyBorder="1" applyAlignment="1">
      <alignment horizontal="center" vertical="center" wrapText="1"/>
    </xf>
    <xf numFmtId="42" fontId="11" fillId="0" borderId="2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123825</xdr:colOff>
      <xdr:row>10</xdr:row>
      <xdr:rowOff>76200</xdr:rowOff>
    </xdr:from>
    <xdr:to>
      <xdr:col>11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180976</xdr:colOff>
      <xdr:row>10</xdr:row>
      <xdr:rowOff>152399</xdr:rowOff>
    </xdr:from>
    <xdr:to>
      <xdr:col>12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2"/>
  <sheetViews>
    <sheetView tabSelected="1" view="pageBreakPreview" topLeftCell="A27" zoomScale="60" zoomScaleNormal="100" workbookViewId="0">
      <selection activeCell="B36" sqref="B36:C38"/>
    </sheetView>
  </sheetViews>
  <sheetFormatPr defaultColWidth="9" defaultRowHeight="15"/>
  <cols>
    <col min="1" max="1" width="7.85546875" style="3" customWidth="1"/>
    <col min="2" max="2" width="20.85546875" style="3" customWidth="1"/>
    <col min="3" max="3" width="15.7109375" style="3" customWidth="1"/>
    <col min="4" max="4" width="8.42578125" style="3" customWidth="1"/>
    <col min="5" max="5" width="10.28515625" style="3" customWidth="1"/>
    <col min="6" max="6" width="8.85546875" style="3" customWidth="1"/>
    <col min="7" max="8" width="22" style="9" customWidth="1"/>
    <col min="9" max="9" width="21" style="9" customWidth="1"/>
    <col min="10" max="10" width="14.5703125" style="9" customWidth="1"/>
    <col min="11" max="11" width="20.28515625" style="9" customWidth="1"/>
    <col min="12" max="12" width="26.28515625" style="9" customWidth="1"/>
    <col min="13" max="13" width="21.140625" style="9" customWidth="1"/>
    <col min="14" max="16" width="15.140625" style="9" customWidth="1"/>
    <col min="17" max="17" width="10" style="9" customWidth="1"/>
    <col min="18" max="18" width="15.140625" style="9" customWidth="1"/>
    <col min="19" max="19" width="12.7109375" style="9" customWidth="1"/>
    <col min="20" max="20" width="27.7109375" style="3" customWidth="1"/>
    <col min="21" max="21" width="18.42578125" style="3" customWidth="1"/>
    <col min="22" max="1015" width="9.140625" style="3" customWidth="1"/>
    <col min="1016" max="16384" width="9" style="3"/>
  </cols>
  <sheetData>
    <row r="1" spans="1:20" ht="15" customHeight="1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5" customHeight="1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0" ht="36" customHeight="1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0" ht="15" customHeight="1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0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5"/>
      <c r="M5" s="4"/>
      <c r="N5" s="4"/>
      <c r="O5" s="4"/>
      <c r="P5" s="4"/>
      <c r="Q5" s="4"/>
      <c r="R5" s="4"/>
      <c r="S5" s="4"/>
    </row>
    <row r="6" spans="1:20" ht="24.75" customHeight="1">
      <c r="A6" s="55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56"/>
      <c r="Q6" s="56"/>
      <c r="R6" s="56"/>
      <c r="S6" s="56"/>
      <c r="T6" s="55"/>
    </row>
    <row r="7" spans="1:20" ht="42" customHeight="1">
      <c r="A7" s="55" t="s">
        <v>21</v>
      </c>
      <c r="B7" s="55"/>
      <c r="C7" s="57" t="s">
        <v>22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8"/>
      <c r="P7" s="58"/>
      <c r="Q7" s="58"/>
      <c r="R7" s="58"/>
      <c r="S7" s="58"/>
      <c r="T7" s="57"/>
    </row>
    <row r="8" spans="1:20" ht="43.5" customHeight="1">
      <c r="A8" s="51" t="s">
        <v>60</v>
      </c>
      <c r="B8" s="38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3"/>
    </row>
    <row r="9" spans="1:20" ht="125.25" customHeight="1">
      <c r="A9" s="59" t="s">
        <v>3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60"/>
      <c r="P9" s="60"/>
      <c r="Q9" s="60"/>
      <c r="R9" s="60"/>
      <c r="S9" s="60"/>
      <c r="T9" s="59"/>
    </row>
    <row r="10" spans="1:20" ht="51" customHeight="1">
      <c r="A10" s="55" t="s">
        <v>4</v>
      </c>
      <c r="B10" s="55" t="s">
        <v>5</v>
      </c>
      <c r="C10" s="55"/>
      <c r="D10" s="61" t="s">
        <v>6</v>
      </c>
      <c r="E10" s="55" t="s">
        <v>7</v>
      </c>
      <c r="F10" s="61" t="s">
        <v>8</v>
      </c>
      <c r="G10" s="6" t="s">
        <v>18</v>
      </c>
      <c r="H10" s="6" t="s">
        <v>19</v>
      </c>
      <c r="I10" s="6" t="s">
        <v>20</v>
      </c>
      <c r="J10" s="6" t="s">
        <v>31</v>
      </c>
      <c r="K10" s="6" t="s">
        <v>32</v>
      </c>
      <c r="L10" s="7" t="s">
        <v>9</v>
      </c>
      <c r="M10" s="7" t="s">
        <v>10</v>
      </c>
      <c r="N10" s="63"/>
      <c r="O10" s="63" t="s">
        <v>23</v>
      </c>
      <c r="P10" s="65" t="s">
        <v>11</v>
      </c>
      <c r="Q10" s="65" t="s">
        <v>27</v>
      </c>
      <c r="R10" s="64" t="s">
        <v>28</v>
      </c>
      <c r="S10" s="64" t="s">
        <v>29</v>
      </c>
      <c r="T10" s="64" t="s">
        <v>30</v>
      </c>
    </row>
    <row r="11" spans="1:20" ht="45" customHeight="1">
      <c r="A11" s="55"/>
      <c r="B11" s="55"/>
      <c r="C11" s="55"/>
      <c r="D11" s="61"/>
      <c r="E11" s="55"/>
      <c r="F11" s="61"/>
      <c r="G11" s="6" t="s">
        <v>12</v>
      </c>
      <c r="H11" s="6" t="s">
        <v>12</v>
      </c>
      <c r="I11" s="6" t="s">
        <v>12</v>
      </c>
      <c r="J11" s="6" t="s">
        <v>12</v>
      </c>
      <c r="K11" s="6" t="s">
        <v>12</v>
      </c>
      <c r="L11" s="8"/>
      <c r="M11" s="8"/>
      <c r="N11" s="63"/>
      <c r="O11" s="63"/>
      <c r="P11" s="66"/>
      <c r="Q11" s="67"/>
      <c r="R11" s="62"/>
      <c r="S11" s="62"/>
      <c r="T11" s="66"/>
    </row>
    <row r="12" spans="1:20" ht="45" customHeight="1">
      <c r="A12" s="22">
        <v>1</v>
      </c>
      <c r="B12" s="30" t="s">
        <v>34</v>
      </c>
      <c r="C12" s="31"/>
      <c r="D12" s="23"/>
      <c r="E12" s="27" t="s">
        <v>33</v>
      </c>
      <c r="F12" s="20">
        <v>25</v>
      </c>
      <c r="G12" s="21">
        <v>620</v>
      </c>
      <c r="H12" s="21">
        <v>600</v>
      </c>
      <c r="I12" s="21">
        <v>613</v>
      </c>
      <c r="J12" s="21">
        <v>670</v>
      </c>
      <c r="K12" s="21">
        <v>650</v>
      </c>
      <c r="L12" s="24">
        <f>STDEV(G12:K12)</f>
        <v>28.66705426094541</v>
      </c>
      <c r="M12" s="24">
        <f>(L12/N12)*100</f>
        <v>4.5459965526396147</v>
      </c>
      <c r="N12" s="62">
        <f>(G12+H12+I12+J12+K12)/5</f>
        <v>630.6</v>
      </c>
      <c r="O12" s="62">
        <f>N12*10%+630.6</f>
        <v>693.66000000000008</v>
      </c>
      <c r="P12" s="67">
        <f>F12*O12</f>
        <v>17341.500000000004</v>
      </c>
      <c r="Q12" s="68">
        <v>2.5000000000000001E-2</v>
      </c>
      <c r="R12" s="62">
        <f>Q12*S12</f>
        <v>1500</v>
      </c>
      <c r="S12" s="62">
        <v>60000</v>
      </c>
      <c r="T12" s="69">
        <f>P12+R12</f>
        <v>18841.500000000004</v>
      </c>
    </row>
    <row r="13" spans="1:20" ht="45" customHeight="1">
      <c r="A13" s="25"/>
      <c r="B13" s="34" t="s">
        <v>35</v>
      </c>
      <c r="C13" s="35"/>
      <c r="D13" s="23"/>
      <c r="E13" s="26" t="s">
        <v>33</v>
      </c>
      <c r="F13" s="20">
        <v>15</v>
      </c>
      <c r="G13" s="21">
        <v>600</v>
      </c>
      <c r="H13" s="21">
        <v>598</v>
      </c>
      <c r="I13" s="21">
        <v>610</v>
      </c>
      <c r="J13" s="21">
        <v>589</v>
      </c>
      <c r="K13" s="21">
        <v>599</v>
      </c>
      <c r="L13" s="24">
        <f t="shared" ref="L13:L38" si="0">STDEV(G13:K13)</f>
        <v>7.4632432628188958</v>
      </c>
      <c r="M13" s="24">
        <f t="shared" ref="M13:M38" si="1">(L13/N13)*100</f>
        <v>1.2455345899230466</v>
      </c>
      <c r="N13" s="62">
        <f t="shared" ref="N13:N38" si="2">(G13+H13+I13+J13+K13)/5</f>
        <v>599.20000000000005</v>
      </c>
      <c r="O13" s="62">
        <f>N13*10%+599.2</f>
        <v>659.12</v>
      </c>
      <c r="P13" s="67">
        <f t="shared" ref="P13:P38" si="3">F13*O13</f>
        <v>9886.7999999999993</v>
      </c>
      <c r="Q13" s="68">
        <v>1.4999999999999999E-2</v>
      </c>
      <c r="R13" s="62">
        <f t="shared" ref="R13:R38" si="4">Q13*S13</f>
        <v>900</v>
      </c>
      <c r="S13" s="62">
        <v>60000</v>
      </c>
      <c r="T13" s="69">
        <f t="shared" ref="T13:T38" si="5">P13+R13</f>
        <v>10786.8</v>
      </c>
    </row>
    <row r="14" spans="1:20" ht="45" customHeight="1">
      <c r="A14" s="25"/>
      <c r="B14" s="30" t="s">
        <v>36</v>
      </c>
      <c r="C14" s="31"/>
      <c r="D14" s="23"/>
      <c r="E14" s="26" t="s">
        <v>33</v>
      </c>
      <c r="F14" s="20">
        <v>15</v>
      </c>
      <c r="G14" s="21">
        <v>554</v>
      </c>
      <c r="H14" s="21">
        <v>555</v>
      </c>
      <c r="I14" s="21">
        <v>523</v>
      </c>
      <c r="J14" s="21">
        <v>545</v>
      </c>
      <c r="K14" s="21">
        <v>575</v>
      </c>
      <c r="L14" s="24">
        <f t="shared" si="0"/>
        <v>18.836135484753456</v>
      </c>
      <c r="M14" s="24">
        <f t="shared" si="1"/>
        <v>3.4222629877822417</v>
      </c>
      <c r="N14" s="62">
        <f t="shared" si="2"/>
        <v>550.4</v>
      </c>
      <c r="O14" s="62">
        <f>N14*10%+550.4</f>
        <v>605.43999999999994</v>
      </c>
      <c r="P14" s="67">
        <f t="shared" si="3"/>
        <v>9081.5999999999985</v>
      </c>
      <c r="Q14" s="68">
        <v>1.4999999999999999E-2</v>
      </c>
      <c r="R14" s="62">
        <f t="shared" si="4"/>
        <v>900</v>
      </c>
      <c r="S14" s="62">
        <v>60000</v>
      </c>
      <c r="T14" s="69">
        <f t="shared" si="5"/>
        <v>9981.5999999999985</v>
      </c>
    </row>
    <row r="15" spans="1:20" ht="45" customHeight="1">
      <c r="A15" s="25"/>
      <c r="B15" s="30" t="s">
        <v>37</v>
      </c>
      <c r="C15" s="31"/>
      <c r="D15" s="23"/>
      <c r="E15" s="26" t="s">
        <v>33</v>
      </c>
      <c r="F15" s="20">
        <v>15</v>
      </c>
      <c r="G15" s="21">
        <v>1000</v>
      </c>
      <c r="H15" s="21">
        <v>987</v>
      </c>
      <c r="I15" s="21">
        <v>997</v>
      </c>
      <c r="J15" s="21">
        <v>1011</v>
      </c>
      <c r="K15" s="21">
        <v>999</v>
      </c>
      <c r="L15" s="24">
        <f t="shared" si="0"/>
        <v>8.5556998544802543</v>
      </c>
      <c r="M15" s="24">
        <f t="shared" si="1"/>
        <v>0.85659790293154336</v>
      </c>
      <c r="N15" s="62">
        <f t="shared" si="2"/>
        <v>998.8</v>
      </c>
      <c r="O15" s="62">
        <f>N15*10%+998.8</f>
        <v>1098.6799999999998</v>
      </c>
      <c r="P15" s="67">
        <f t="shared" si="3"/>
        <v>16480.199999999997</v>
      </c>
      <c r="Q15" s="68">
        <v>1.4999999999999999E-2</v>
      </c>
      <c r="R15" s="62">
        <f t="shared" si="4"/>
        <v>900</v>
      </c>
      <c r="S15" s="62">
        <v>60000</v>
      </c>
      <c r="T15" s="69">
        <f t="shared" si="5"/>
        <v>17380.199999999997</v>
      </c>
    </row>
    <row r="16" spans="1:20" ht="45" customHeight="1">
      <c r="A16" s="27"/>
      <c r="B16" s="30" t="s">
        <v>38</v>
      </c>
      <c r="C16" s="31"/>
      <c r="D16" s="23"/>
      <c r="E16" s="27" t="s">
        <v>33</v>
      </c>
      <c r="F16" s="20">
        <v>10</v>
      </c>
      <c r="G16" s="21">
        <v>619</v>
      </c>
      <c r="H16" s="21">
        <v>624</v>
      </c>
      <c r="I16" s="21">
        <v>637</v>
      </c>
      <c r="J16" s="21">
        <v>654</v>
      </c>
      <c r="K16" s="21">
        <v>625</v>
      </c>
      <c r="L16" s="24">
        <f t="shared" si="0"/>
        <v>14.060583202698657</v>
      </c>
      <c r="M16" s="24">
        <f t="shared" si="1"/>
        <v>2.2254800890627822</v>
      </c>
      <c r="N16" s="62">
        <f t="shared" si="2"/>
        <v>631.79999999999995</v>
      </c>
      <c r="O16" s="62">
        <f>N16*10%+631.8</f>
        <v>694.9799999999999</v>
      </c>
      <c r="P16" s="67">
        <f t="shared" si="3"/>
        <v>6949.7999999999993</v>
      </c>
      <c r="Q16" s="68">
        <v>0.01</v>
      </c>
      <c r="R16" s="62">
        <f t="shared" si="4"/>
        <v>600</v>
      </c>
      <c r="S16" s="62">
        <v>60000</v>
      </c>
      <c r="T16" s="69">
        <f t="shared" si="5"/>
        <v>7549.7999999999993</v>
      </c>
    </row>
    <row r="17" spans="1:20" ht="45" customHeight="1">
      <c r="A17" s="27"/>
      <c r="B17" s="30" t="s">
        <v>39</v>
      </c>
      <c r="C17" s="31"/>
      <c r="D17" s="23"/>
      <c r="E17" s="27" t="s">
        <v>33</v>
      </c>
      <c r="F17" s="20">
        <v>10</v>
      </c>
      <c r="G17" s="21">
        <v>505</v>
      </c>
      <c r="H17" s="21">
        <v>515</v>
      </c>
      <c r="I17" s="21">
        <v>497</v>
      </c>
      <c r="J17" s="21">
        <v>517</v>
      </c>
      <c r="K17" s="21">
        <v>575</v>
      </c>
      <c r="L17" s="24">
        <f t="shared" si="0"/>
        <v>30.809089567853373</v>
      </c>
      <c r="M17" s="24">
        <f t="shared" si="1"/>
        <v>5.9043866553954345</v>
      </c>
      <c r="N17" s="62">
        <f t="shared" si="2"/>
        <v>521.79999999999995</v>
      </c>
      <c r="O17" s="62">
        <f>N17*10%+521.8</f>
        <v>573.9799999999999</v>
      </c>
      <c r="P17" s="67">
        <f t="shared" si="3"/>
        <v>5739.7999999999993</v>
      </c>
      <c r="Q17" s="68">
        <v>0.01</v>
      </c>
      <c r="R17" s="62">
        <f t="shared" si="4"/>
        <v>600</v>
      </c>
      <c r="S17" s="62">
        <v>60000</v>
      </c>
      <c r="T17" s="69">
        <f t="shared" si="5"/>
        <v>6339.7999999999993</v>
      </c>
    </row>
    <row r="18" spans="1:20" ht="45" customHeight="1">
      <c r="A18" s="27"/>
      <c r="B18" s="30" t="s">
        <v>40</v>
      </c>
      <c r="C18" s="31"/>
      <c r="D18" s="23"/>
      <c r="E18" s="27" t="s">
        <v>33</v>
      </c>
      <c r="F18" s="20">
        <v>10</v>
      </c>
      <c r="G18" s="21">
        <v>879</v>
      </c>
      <c r="H18" s="21">
        <v>901</v>
      </c>
      <c r="I18" s="21">
        <v>991</v>
      </c>
      <c r="J18" s="21">
        <v>995</v>
      </c>
      <c r="K18" s="21">
        <v>902</v>
      </c>
      <c r="L18" s="24">
        <f t="shared" si="0"/>
        <v>55.01636120282808</v>
      </c>
      <c r="M18" s="24">
        <f t="shared" si="1"/>
        <v>5.8929264356071211</v>
      </c>
      <c r="N18" s="62">
        <f t="shared" si="2"/>
        <v>933.6</v>
      </c>
      <c r="O18" s="62">
        <f>N18*10%+933.6</f>
        <v>1026.96</v>
      </c>
      <c r="P18" s="67">
        <f t="shared" si="3"/>
        <v>10269.6</v>
      </c>
      <c r="Q18" s="68">
        <v>0.01</v>
      </c>
      <c r="R18" s="62">
        <f t="shared" si="4"/>
        <v>600</v>
      </c>
      <c r="S18" s="62">
        <v>60000</v>
      </c>
      <c r="T18" s="69">
        <f t="shared" si="5"/>
        <v>10869.6</v>
      </c>
    </row>
    <row r="19" spans="1:20" ht="45" customHeight="1">
      <c r="A19" s="27"/>
      <c r="B19" s="30" t="s">
        <v>41</v>
      </c>
      <c r="C19" s="31"/>
      <c r="D19" s="23"/>
      <c r="E19" s="27" t="s">
        <v>33</v>
      </c>
      <c r="F19" s="20">
        <v>10</v>
      </c>
      <c r="G19" s="21">
        <v>1070</v>
      </c>
      <c r="H19" s="21">
        <v>1000</v>
      </c>
      <c r="I19" s="21">
        <v>989</v>
      </c>
      <c r="J19" s="21">
        <v>987</v>
      </c>
      <c r="K19" s="21">
        <v>879</v>
      </c>
      <c r="L19" s="24">
        <f t="shared" si="0"/>
        <v>68.384939862516518</v>
      </c>
      <c r="M19" s="24">
        <f t="shared" si="1"/>
        <v>6.9426334885803573</v>
      </c>
      <c r="N19" s="62">
        <f t="shared" si="2"/>
        <v>985</v>
      </c>
      <c r="O19" s="62">
        <f>N19*10%+985</f>
        <v>1083.5</v>
      </c>
      <c r="P19" s="67">
        <f t="shared" si="3"/>
        <v>10835</v>
      </c>
      <c r="Q19" s="68">
        <v>0.01</v>
      </c>
      <c r="R19" s="62">
        <f t="shared" si="4"/>
        <v>600</v>
      </c>
      <c r="S19" s="62">
        <v>60000</v>
      </c>
      <c r="T19" s="69">
        <f t="shared" si="5"/>
        <v>11435</v>
      </c>
    </row>
    <row r="20" spans="1:20" ht="45" customHeight="1">
      <c r="A20" s="27"/>
      <c r="B20" s="30" t="s">
        <v>44</v>
      </c>
      <c r="C20" s="31"/>
      <c r="D20" s="23"/>
      <c r="E20" s="27" t="s">
        <v>33</v>
      </c>
      <c r="F20" s="20">
        <v>1</v>
      </c>
      <c r="G20" s="21">
        <v>965</v>
      </c>
      <c r="H20" s="21">
        <v>980</v>
      </c>
      <c r="I20" s="21">
        <v>850</v>
      </c>
      <c r="J20" s="21">
        <v>998</v>
      </c>
      <c r="K20" s="21">
        <v>979</v>
      </c>
      <c r="L20" s="24">
        <f t="shared" si="0"/>
        <v>59.525624734227243</v>
      </c>
      <c r="M20" s="24">
        <f t="shared" si="1"/>
        <v>6.2369682244580096</v>
      </c>
      <c r="N20" s="62">
        <f t="shared" si="2"/>
        <v>954.4</v>
      </c>
      <c r="O20" s="62">
        <f>N20*10%+954.4</f>
        <v>1049.8399999999999</v>
      </c>
      <c r="P20" s="67">
        <f t="shared" si="3"/>
        <v>1049.8399999999999</v>
      </c>
      <c r="Q20" s="68">
        <v>1E-3</v>
      </c>
      <c r="R20" s="62">
        <f t="shared" si="4"/>
        <v>60</v>
      </c>
      <c r="S20" s="62">
        <v>60000</v>
      </c>
      <c r="T20" s="69">
        <f t="shared" si="5"/>
        <v>1109.8399999999999</v>
      </c>
    </row>
    <row r="21" spans="1:20" ht="45" customHeight="1">
      <c r="A21" s="27"/>
      <c r="B21" s="30" t="s">
        <v>45</v>
      </c>
      <c r="C21" s="31"/>
      <c r="D21" s="23"/>
      <c r="E21" s="27" t="s">
        <v>33</v>
      </c>
      <c r="F21" s="20">
        <v>2</v>
      </c>
      <c r="G21" s="21">
        <v>627</v>
      </c>
      <c r="H21" s="21">
        <v>639</v>
      </c>
      <c r="I21" s="21">
        <v>634</v>
      </c>
      <c r="J21" s="21">
        <v>650</v>
      </c>
      <c r="K21" s="21">
        <v>651</v>
      </c>
      <c r="L21" s="24">
        <f t="shared" si="0"/>
        <v>10.329569206893947</v>
      </c>
      <c r="M21" s="24">
        <f t="shared" si="1"/>
        <v>1.6134909726482265</v>
      </c>
      <c r="N21" s="62">
        <f t="shared" si="2"/>
        <v>640.20000000000005</v>
      </c>
      <c r="O21" s="62">
        <f>N21*10%+640.2</f>
        <v>704.22</v>
      </c>
      <c r="P21" s="67">
        <f t="shared" si="3"/>
        <v>1408.44</v>
      </c>
      <c r="Q21" s="68">
        <v>2E-3</v>
      </c>
      <c r="R21" s="62">
        <f t="shared" si="4"/>
        <v>120</v>
      </c>
      <c r="S21" s="62">
        <v>60000</v>
      </c>
      <c r="T21" s="69">
        <f t="shared" si="5"/>
        <v>1528.44</v>
      </c>
    </row>
    <row r="22" spans="1:20" ht="45" customHeight="1">
      <c r="A22" s="27"/>
      <c r="B22" s="30" t="s">
        <v>46</v>
      </c>
      <c r="C22" s="31"/>
      <c r="D22" s="23"/>
      <c r="E22" s="27" t="s">
        <v>33</v>
      </c>
      <c r="F22" s="20">
        <v>50</v>
      </c>
      <c r="G22" s="21">
        <v>116</v>
      </c>
      <c r="H22" s="21">
        <v>120</v>
      </c>
      <c r="I22" s="21">
        <v>121</v>
      </c>
      <c r="J22" s="21">
        <v>118</v>
      </c>
      <c r="K22" s="21">
        <v>200</v>
      </c>
      <c r="L22" s="24">
        <f t="shared" si="0"/>
        <v>36.386810797320507</v>
      </c>
      <c r="M22" s="24">
        <f t="shared" si="1"/>
        <v>26.953193183200376</v>
      </c>
      <c r="N22" s="62">
        <f t="shared" si="2"/>
        <v>135</v>
      </c>
      <c r="O22" s="62">
        <f>N22*10%+135</f>
        <v>148.5</v>
      </c>
      <c r="P22" s="67">
        <f t="shared" si="3"/>
        <v>7425</v>
      </c>
      <c r="Q22" s="68">
        <v>0.05</v>
      </c>
      <c r="R22" s="62">
        <f t="shared" si="4"/>
        <v>3000</v>
      </c>
      <c r="S22" s="62">
        <v>60000</v>
      </c>
      <c r="T22" s="69">
        <f t="shared" si="5"/>
        <v>10425</v>
      </c>
    </row>
    <row r="23" spans="1:20" ht="45" customHeight="1">
      <c r="A23" s="27"/>
      <c r="B23" s="30" t="s">
        <v>47</v>
      </c>
      <c r="C23" s="31"/>
      <c r="D23" s="23"/>
      <c r="E23" s="27" t="s">
        <v>33</v>
      </c>
      <c r="F23" s="20">
        <v>150</v>
      </c>
      <c r="G23" s="21">
        <v>136</v>
      </c>
      <c r="H23" s="21">
        <v>138</v>
      </c>
      <c r="I23" s="21">
        <v>140</v>
      </c>
      <c r="J23" s="21">
        <v>140</v>
      </c>
      <c r="K23" s="21">
        <v>139</v>
      </c>
      <c r="L23" s="24">
        <f t="shared" si="0"/>
        <v>1.6733200530679337</v>
      </c>
      <c r="M23" s="24">
        <f t="shared" si="1"/>
        <v>1.2073016255901399</v>
      </c>
      <c r="N23" s="62">
        <f t="shared" si="2"/>
        <v>138.6</v>
      </c>
      <c r="O23" s="62">
        <f>N23*10%+138.6</f>
        <v>152.45999999999998</v>
      </c>
      <c r="P23" s="67">
        <f t="shared" si="3"/>
        <v>22868.999999999996</v>
      </c>
      <c r="Q23" s="68">
        <v>0.15</v>
      </c>
      <c r="R23" s="62">
        <f t="shared" si="4"/>
        <v>9000</v>
      </c>
      <c r="S23" s="62">
        <v>60000</v>
      </c>
      <c r="T23" s="69">
        <f t="shared" si="5"/>
        <v>31868.999999999996</v>
      </c>
    </row>
    <row r="24" spans="1:20" ht="45" customHeight="1">
      <c r="A24" s="27"/>
      <c r="B24" s="30" t="s">
        <v>42</v>
      </c>
      <c r="C24" s="31"/>
      <c r="D24" s="23"/>
      <c r="E24" s="27" t="s">
        <v>33</v>
      </c>
      <c r="F24" s="20">
        <v>100</v>
      </c>
      <c r="G24" s="21">
        <v>125</v>
      </c>
      <c r="H24" s="21">
        <v>130</v>
      </c>
      <c r="I24" s="21">
        <v>128</v>
      </c>
      <c r="J24" s="21">
        <v>135</v>
      </c>
      <c r="K24" s="21">
        <v>140</v>
      </c>
      <c r="L24" s="24">
        <f t="shared" si="0"/>
        <v>5.9413803110051182</v>
      </c>
      <c r="M24" s="24">
        <f t="shared" si="1"/>
        <v>4.5147266800950749</v>
      </c>
      <c r="N24" s="62">
        <f t="shared" si="2"/>
        <v>131.6</v>
      </c>
      <c r="O24" s="62">
        <f>N24*10%+131.6</f>
        <v>144.76</v>
      </c>
      <c r="P24" s="67">
        <f t="shared" si="3"/>
        <v>14476</v>
      </c>
      <c r="Q24" s="68">
        <v>0.1</v>
      </c>
      <c r="R24" s="62">
        <f t="shared" si="4"/>
        <v>6000</v>
      </c>
      <c r="S24" s="62">
        <v>60000</v>
      </c>
      <c r="T24" s="69">
        <f t="shared" si="5"/>
        <v>20476</v>
      </c>
    </row>
    <row r="25" spans="1:20" ht="45" customHeight="1">
      <c r="A25" s="27"/>
      <c r="B25" s="30" t="s">
        <v>43</v>
      </c>
      <c r="C25" s="31"/>
      <c r="D25" s="23"/>
      <c r="E25" s="27" t="s">
        <v>33</v>
      </c>
      <c r="F25" s="20">
        <v>50</v>
      </c>
      <c r="G25" s="21">
        <v>135</v>
      </c>
      <c r="H25" s="21">
        <v>136</v>
      </c>
      <c r="I25" s="21">
        <v>145</v>
      </c>
      <c r="J25" s="21">
        <v>140</v>
      </c>
      <c r="K25" s="21">
        <v>141</v>
      </c>
      <c r="L25" s="24">
        <f t="shared" si="0"/>
        <v>4.0373258476371801</v>
      </c>
      <c r="M25" s="24">
        <f t="shared" si="1"/>
        <v>2.8962165334556524</v>
      </c>
      <c r="N25" s="62">
        <f t="shared" si="2"/>
        <v>139.4</v>
      </c>
      <c r="O25" s="62">
        <f>N25*10%+139.4</f>
        <v>153.34</v>
      </c>
      <c r="P25" s="67">
        <f t="shared" si="3"/>
        <v>7667</v>
      </c>
      <c r="Q25" s="68">
        <v>0.05</v>
      </c>
      <c r="R25" s="62">
        <f t="shared" si="4"/>
        <v>3000</v>
      </c>
      <c r="S25" s="62">
        <v>60000</v>
      </c>
      <c r="T25" s="69">
        <f t="shared" si="5"/>
        <v>10667</v>
      </c>
    </row>
    <row r="26" spans="1:20" ht="45" customHeight="1">
      <c r="A26" s="27"/>
      <c r="B26" s="30" t="s">
        <v>48</v>
      </c>
      <c r="C26" s="31"/>
      <c r="D26" s="23"/>
      <c r="E26" s="27" t="s">
        <v>33</v>
      </c>
      <c r="F26" s="20">
        <v>25</v>
      </c>
      <c r="G26" s="21">
        <v>150</v>
      </c>
      <c r="H26" s="21">
        <v>175</v>
      </c>
      <c r="I26" s="21">
        <v>155</v>
      </c>
      <c r="J26" s="21">
        <v>165</v>
      </c>
      <c r="K26" s="21">
        <v>154</v>
      </c>
      <c r="L26" s="24">
        <f t="shared" si="0"/>
        <v>10.134100848126623</v>
      </c>
      <c r="M26" s="24">
        <f t="shared" si="1"/>
        <v>6.3417402053358094</v>
      </c>
      <c r="N26" s="62">
        <f t="shared" si="2"/>
        <v>159.80000000000001</v>
      </c>
      <c r="O26" s="62">
        <f>N26*10%+159.8</f>
        <v>175.78</v>
      </c>
      <c r="P26" s="67">
        <f t="shared" si="3"/>
        <v>4394.5</v>
      </c>
      <c r="Q26" s="68">
        <v>2.5000000000000001E-2</v>
      </c>
      <c r="R26" s="62">
        <f t="shared" si="4"/>
        <v>1500</v>
      </c>
      <c r="S26" s="62">
        <v>60000</v>
      </c>
      <c r="T26" s="69">
        <f t="shared" si="5"/>
        <v>5894.5</v>
      </c>
    </row>
    <row r="27" spans="1:20" ht="45" customHeight="1">
      <c r="A27" s="27"/>
      <c r="B27" s="30" t="s">
        <v>49</v>
      </c>
      <c r="C27" s="31"/>
      <c r="D27" s="23"/>
      <c r="E27" s="27" t="s">
        <v>33</v>
      </c>
      <c r="F27" s="20">
        <v>126.4</v>
      </c>
      <c r="G27" s="21">
        <v>120</v>
      </c>
      <c r="H27" s="21">
        <v>123</v>
      </c>
      <c r="I27" s="21">
        <v>125</v>
      </c>
      <c r="J27" s="21">
        <v>130</v>
      </c>
      <c r="K27" s="21">
        <v>137</v>
      </c>
      <c r="L27" s="24">
        <f t="shared" si="0"/>
        <v>6.6708320320631671</v>
      </c>
      <c r="M27" s="24">
        <f t="shared" si="1"/>
        <v>5.2526236472938326</v>
      </c>
      <c r="N27" s="62">
        <f t="shared" si="2"/>
        <v>127</v>
      </c>
      <c r="O27" s="62">
        <f>N27*10%+127</f>
        <v>139.69999999999999</v>
      </c>
      <c r="P27" s="67">
        <f t="shared" si="3"/>
        <v>17658.079999999998</v>
      </c>
      <c r="Q27" s="68">
        <v>0.126</v>
      </c>
      <c r="R27" s="62">
        <f t="shared" si="4"/>
        <v>7560</v>
      </c>
      <c r="S27" s="62">
        <v>60000</v>
      </c>
      <c r="T27" s="69">
        <f t="shared" si="5"/>
        <v>25218.079999999998</v>
      </c>
    </row>
    <row r="28" spans="1:20" ht="45" customHeight="1">
      <c r="A28" s="27"/>
      <c r="B28" s="30" t="s">
        <v>50</v>
      </c>
      <c r="C28" s="31"/>
      <c r="D28" s="23"/>
      <c r="E28" s="27" t="s">
        <v>33</v>
      </c>
      <c r="F28" s="20">
        <v>12.4</v>
      </c>
      <c r="G28" s="21">
        <v>200</v>
      </c>
      <c r="H28" s="21">
        <v>222</v>
      </c>
      <c r="I28" s="21">
        <v>220</v>
      </c>
      <c r="J28" s="21">
        <v>215</v>
      </c>
      <c r="K28" s="21">
        <v>210</v>
      </c>
      <c r="L28" s="24">
        <f t="shared" si="0"/>
        <v>8.8204308284801431</v>
      </c>
      <c r="M28" s="24">
        <f t="shared" si="1"/>
        <v>4.1332852991940685</v>
      </c>
      <c r="N28" s="62">
        <f t="shared" si="2"/>
        <v>213.4</v>
      </c>
      <c r="O28" s="62">
        <f>N28*10%+213.4</f>
        <v>234.74</v>
      </c>
      <c r="P28" s="67">
        <f t="shared" si="3"/>
        <v>2910.7760000000003</v>
      </c>
      <c r="Q28" s="68">
        <v>1.2E-2</v>
      </c>
      <c r="R28" s="62">
        <f t="shared" si="4"/>
        <v>720</v>
      </c>
      <c r="S28" s="62">
        <v>60000</v>
      </c>
      <c r="T28" s="69">
        <f t="shared" si="5"/>
        <v>3630.7760000000003</v>
      </c>
    </row>
    <row r="29" spans="1:20" ht="45" customHeight="1">
      <c r="A29" s="27"/>
      <c r="B29" s="30" t="s">
        <v>51</v>
      </c>
      <c r="C29" s="31"/>
      <c r="D29" s="23"/>
      <c r="E29" s="27" t="s">
        <v>17</v>
      </c>
      <c r="F29" s="20">
        <v>26</v>
      </c>
      <c r="G29" s="21">
        <v>51</v>
      </c>
      <c r="H29" s="21">
        <v>63</v>
      </c>
      <c r="I29" s="21">
        <v>48</v>
      </c>
      <c r="J29" s="21">
        <v>49</v>
      </c>
      <c r="K29" s="21">
        <v>42</v>
      </c>
      <c r="L29" s="24">
        <f t="shared" si="0"/>
        <v>7.700649323271394</v>
      </c>
      <c r="M29" s="24">
        <f t="shared" si="1"/>
        <v>15.218674551919751</v>
      </c>
      <c r="N29" s="62">
        <f t="shared" si="2"/>
        <v>50.6</v>
      </c>
      <c r="O29" s="62">
        <f>N29*10%+50.6</f>
        <v>55.660000000000004</v>
      </c>
      <c r="P29" s="67">
        <f t="shared" si="3"/>
        <v>1447.16</v>
      </c>
      <c r="Q29" s="68">
        <v>1E-3</v>
      </c>
      <c r="R29" s="62">
        <f t="shared" si="4"/>
        <v>60</v>
      </c>
      <c r="S29" s="62">
        <v>60000</v>
      </c>
      <c r="T29" s="69">
        <f t="shared" si="5"/>
        <v>1507.16</v>
      </c>
    </row>
    <row r="30" spans="1:20" ht="45" customHeight="1">
      <c r="A30" s="25"/>
      <c r="B30" s="30" t="s">
        <v>52</v>
      </c>
      <c r="C30" s="31"/>
      <c r="D30" s="23"/>
      <c r="E30" s="27" t="s">
        <v>17</v>
      </c>
      <c r="F30" s="20">
        <v>50</v>
      </c>
      <c r="G30" s="21">
        <v>79</v>
      </c>
      <c r="H30" s="21">
        <v>80</v>
      </c>
      <c r="I30" s="21">
        <v>77</v>
      </c>
      <c r="J30" s="21">
        <v>85</v>
      </c>
      <c r="K30" s="21">
        <v>75</v>
      </c>
      <c r="L30" s="24">
        <f t="shared" si="0"/>
        <v>3.7682887362833304</v>
      </c>
      <c r="M30" s="24">
        <f t="shared" si="1"/>
        <v>4.7579403235900628</v>
      </c>
      <c r="N30" s="62">
        <f t="shared" si="2"/>
        <v>79.2</v>
      </c>
      <c r="O30" s="62">
        <f>N30*10%+79.2</f>
        <v>87.12</v>
      </c>
      <c r="P30" s="67">
        <f t="shared" si="3"/>
        <v>4356</v>
      </c>
      <c r="Q30" s="68">
        <v>1E-3</v>
      </c>
      <c r="R30" s="62">
        <f t="shared" si="4"/>
        <v>60</v>
      </c>
      <c r="S30" s="62">
        <v>60000</v>
      </c>
      <c r="T30" s="69">
        <f t="shared" si="5"/>
        <v>4416</v>
      </c>
    </row>
    <row r="31" spans="1:20" ht="45" customHeight="1">
      <c r="A31" s="27"/>
      <c r="B31" s="30" t="s">
        <v>53</v>
      </c>
      <c r="C31" s="31"/>
      <c r="D31" s="23"/>
      <c r="E31" s="27" t="s">
        <v>17</v>
      </c>
      <c r="F31" s="20">
        <v>20</v>
      </c>
      <c r="G31" s="21">
        <v>120</v>
      </c>
      <c r="H31" s="21">
        <v>160</v>
      </c>
      <c r="I31" s="21">
        <v>110</v>
      </c>
      <c r="J31" s="21">
        <v>130</v>
      </c>
      <c r="K31" s="21">
        <v>155</v>
      </c>
      <c r="L31" s="24">
        <f t="shared" si="0"/>
        <v>21.794494717703369</v>
      </c>
      <c r="M31" s="24">
        <f t="shared" si="1"/>
        <v>16.144070161261755</v>
      </c>
      <c r="N31" s="62">
        <f t="shared" si="2"/>
        <v>135</v>
      </c>
      <c r="O31" s="62">
        <f>N31*10%+135</f>
        <v>148.5</v>
      </c>
      <c r="P31" s="67">
        <f t="shared" si="3"/>
        <v>2970</v>
      </c>
      <c r="Q31" s="68">
        <v>2E-3</v>
      </c>
      <c r="R31" s="62">
        <f>Q31*S31</f>
        <v>120</v>
      </c>
      <c r="S31" s="62">
        <v>60000</v>
      </c>
      <c r="T31" s="69">
        <f t="shared" si="5"/>
        <v>3090</v>
      </c>
    </row>
    <row r="32" spans="1:20" ht="45" customHeight="1">
      <c r="A32" s="27"/>
      <c r="B32" s="30" t="s">
        <v>54</v>
      </c>
      <c r="C32" s="31"/>
      <c r="D32" s="23"/>
      <c r="E32" s="27" t="s">
        <v>17</v>
      </c>
      <c r="F32" s="20">
        <v>20</v>
      </c>
      <c r="G32" s="21">
        <v>140</v>
      </c>
      <c r="H32" s="21">
        <v>154</v>
      </c>
      <c r="I32" s="21">
        <v>145</v>
      </c>
      <c r="J32" s="21">
        <v>160</v>
      </c>
      <c r="K32" s="21">
        <v>120</v>
      </c>
      <c r="L32" s="24">
        <f t="shared" si="0"/>
        <v>15.401298646542788</v>
      </c>
      <c r="M32" s="24">
        <f t="shared" si="1"/>
        <v>10.710221590085386</v>
      </c>
      <c r="N32" s="62">
        <f t="shared" si="2"/>
        <v>143.80000000000001</v>
      </c>
      <c r="O32" s="62">
        <f>N32*10%+143.8</f>
        <v>158.18</v>
      </c>
      <c r="P32" s="67">
        <f t="shared" si="3"/>
        <v>3163.6000000000004</v>
      </c>
      <c r="Q32" s="68">
        <v>2E-3</v>
      </c>
      <c r="R32" s="62">
        <f t="shared" si="4"/>
        <v>120</v>
      </c>
      <c r="S32" s="62">
        <v>60000</v>
      </c>
      <c r="T32" s="69">
        <f t="shared" si="5"/>
        <v>3283.6000000000004</v>
      </c>
    </row>
    <row r="33" spans="1:20" ht="45" customHeight="1">
      <c r="A33" s="27"/>
      <c r="B33" s="30" t="s">
        <v>55</v>
      </c>
      <c r="C33" s="31"/>
      <c r="D33" s="23"/>
      <c r="E33" s="27" t="s">
        <v>17</v>
      </c>
      <c r="F33" s="20">
        <v>12</v>
      </c>
      <c r="G33" s="21">
        <v>649</v>
      </c>
      <c r="H33" s="21">
        <v>639</v>
      </c>
      <c r="I33" s="21">
        <v>673</v>
      </c>
      <c r="J33" s="21">
        <v>670</v>
      </c>
      <c r="K33" s="21">
        <v>671</v>
      </c>
      <c r="L33" s="24">
        <f t="shared" si="0"/>
        <v>15.420765220962497</v>
      </c>
      <c r="M33" s="24">
        <f t="shared" si="1"/>
        <v>2.3350643883952906</v>
      </c>
      <c r="N33" s="62">
        <f t="shared" si="2"/>
        <v>660.4</v>
      </c>
      <c r="O33" s="62">
        <f>N33*10%+660.4</f>
        <v>726.43999999999994</v>
      </c>
      <c r="P33" s="67">
        <f t="shared" si="3"/>
        <v>8717.2799999999988</v>
      </c>
      <c r="Q33" s="68">
        <v>1.4999999999999999E-2</v>
      </c>
      <c r="R33" s="62">
        <f t="shared" si="4"/>
        <v>900</v>
      </c>
      <c r="S33" s="62">
        <v>60000</v>
      </c>
      <c r="T33" s="69">
        <f t="shared" si="5"/>
        <v>9617.2799999999988</v>
      </c>
    </row>
    <row r="34" spans="1:20" ht="45" customHeight="1">
      <c r="A34" s="27"/>
      <c r="B34" s="30" t="s">
        <v>56</v>
      </c>
      <c r="C34" s="31"/>
      <c r="D34" s="23"/>
      <c r="E34" s="27" t="s">
        <v>59</v>
      </c>
      <c r="F34" s="20">
        <v>150</v>
      </c>
      <c r="G34" s="21">
        <v>87</v>
      </c>
      <c r="H34" s="21">
        <v>90</v>
      </c>
      <c r="I34" s="21">
        <v>93</v>
      </c>
      <c r="J34" s="21">
        <v>98</v>
      </c>
      <c r="K34" s="21">
        <v>97</v>
      </c>
      <c r="L34" s="24">
        <f t="shared" si="0"/>
        <v>4.636809247747852</v>
      </c>
      <c r="M34" s="24">
        <f t="shared" si="1"/>
        <v>4.9858163954277979</v>
      </c>
      <c r="N34" s="62">
        <f t="shared" si="2"/>
        <v>93</v>
      </c>
      <c r="O34" s="62">
        <f>N34*10%+93</f>
        <v>102.3</v>
      </c>
      <c r="P34" s="67">
        <f t="shared" si="3"/>
        <v>15345</v>
      </c>
      <c r="Q34" s="68">
        <v>3.5999999999999997E-2</v>
      </c>
      <c r="R34" s="62">
        <f t="shared" si="4"/>
        <v>2160</v>
      </c>
      <c r="S34" s="62">
        <v>60000</v>
      </c>
      <c r="T34" s="69">
        <f t="shared" si="5"/>
        <v>17505</v>
      </c>
    </row>
    <row r="35" spans="1:20" ht="45" customHeight="1">
      <c r="A35" s="27"/>
      <c r="B35" s="30" t="s">
        <v>57</v>
      </c>
      <c r="C35" s="31"/>
      <c r="D35" s="23"/>
      <c r="E35" s="27" t="s">
        <v>59</v>
      </c>
      <c r="F35" s="20">
        <v>150</v>
      </c>
      <c r="G35" s="21">
        <v>48</v>
      </c>
      <c r="H35" s="21">
        <v>65</v>
      </c>
      <c r="I35" s="21">
        <v>73</v>
      </c>
      <c r="J35" s="21">
        <v>69</v>
      </c>
      <c r="K35" s="21">
        <v>72</v>
      </c>
      <c r="L35" s="24">
        <f t="shared" si="0"/>
        <v>10.212737145349438</v>
      </c>
      <c r="M35" s="24">
        <f t="shared" si="1"/>
        <v>15.6158060326444</v>
      </c>
      <c r="N35" s="62">
        <f t="shared" si="2"/>
        <v>65.400000000000006</v>
      </c>
      <c r="O35" s="62">
        <f>N35*10%+65.4</f>
        <v>71.940000000000012</v>
      </c>
      <c r="P35" s="67">
        <f t="shared" si="3"/>
        <v>10791.000000000002</v>
      </c>
      <c r="Q35" s="68">
        <v>3.5999999999999997E-2</v>
      </c>
      <c r="R35" s="62">
        <f t="shared" si="4"/>
        <v>2160</v>
      </c>
      <c r="S35" s="62">
        <v>60000</v>
      </c>
      <c r="T35" s="69">
        <f t="shared" si="5"/>
        <v>12951.000000000002</v>
      </c>
    </row>
    <row r="36" spans="1:20" ht="45" customHeight="1">
      <c r="A36" s="27"/>
      <c r="B36" s="77" t="s">
        <v>58</v>
      </c>
      <c r="C36" s="78"/>
      <c r="D36" s="23"/>
      <c r="E36" s="27" t="s">
        <v>17</v>
      </c>
      <c r="F36" s="20">
        <v>6</v>
      </c>
      <c r="G36" s="21">
        <v>511</v>
      </c>
      <c r="H36" s="21">
        <v>605</v>
      </c>
      <c r="I36" s="21">
        <v>525</v>
      </c>
      <c r="J36" s="21">
        <v>519</v>
      </c>
      <c r="K36" s="21">
        <v>520</v>
      </c>
      <c r="L36" s="24">
        <f t="shared" si="0"/>
        <v>38.897300677553446</v>
      </c>
      <c r="M36" s="24">
        <f t="shared" si="1"/>
        <v>7.2569590816331058</v>
      </c>
      <c r="N36" s="62">
        <f t="shared" si="2"/>
        <v>536</v>
      </c>
      <c r="O36" s="62">
        <f>N36*10%+536</f>
        <v>589.6</v>
      </c>
      <c r="P36" s="67">
        <f t="shared" si="3"/>
        <v>3537.6000000000004</v>
      </c>
      <c r="Q36" s="68">
        <v>2.1000000000000001E-2</v>
      </c>
      <c r="R36" s="62">
        <f t="shared" si="4"/>
        <v>1260</v>
      </c>
      <c r="S36" s="62">
        <v>60000</v>
      </c>
      <c r="T36" s="69">
        <f t="shared" si="5"/>
        <v>4797.6000000000004</v>
      </c>
    </row>
    <row r="37" spans="1:20" ht="45" customHeight="1">
      <c r="A37" s="28"/>
      <c r="B37" s="77" t="s">
        <v>61</v>
      </c>
      <c r="C37" s="78"/>
      <c r="D37" s="20"/>
      <c r="E37" s="28" t="s">
        <v>17</v>
      </c>
      <c r="F37" s="20">
        <v>8</v>
      </c>
      <c r="G37" s="21">
        <v>4200</v>
      </c>
      <c r="H37" s="21">
        <v>4000</v>
      </c>
      <c r="I37" s="21">
        <v>4500</v>
      </c>
      <c r="J37" s="21">
        <v>4350</v>
      </c>
      <c r="K37" s="21">
        <v>4250</v>
      </c>
      <c r="L37" s="24">
        <f t="shared" si="0"/>
        <v>185.06755523321746</v>
      </c>
      <c r="M37" s="24">
        <f t="shared" si="1"/>
        <v>4.3443088082914896</v>
      </c>
      <c r="N37" s="62">
        <f t="shared" si="2"/>
        <v>4260</v>
      </c>
      <c r="O37" s="62">
        <f>N37*10%+4260</f>
        <v>4686</v>
      </c>
      <c r="P37" s="67">
        <f t="shared" si="3"/>
        <v>37488</v>
      </c>
      <c r="Q37" s="68">
        <v>2.1000000000000001E-2</v>
      </c>
      <c r="R37" s="62">
        <f t="shared" si="4"/>
        <v>1260</v>
      </c>
      <c r="S37" s="62">
        <v>60000</v>
      </c>
      <c r="T37" s="69">
        <f t="shared" si="5"/>
        <v>38748</v>
      </c>
    </row>
    <row r="38" spans="1:20" ht="45" customHeight="1">
      <c r="A38" s="29"/>
      <c r="B38" s="77" t="s">
        <v>63</v>
      </c>
      <c r="C38" s="78"/>
      <c r="D38" s="20"/>
      <c r="E38" s="29" t="s">
        <v>17</v>
      </c>
      <c r="F38" s="20">
        <v>12</v>
      </c>
      <c r="G38" s="21">
        <v>38</v>
      </c>
      <c r="H38" s="21">
        <v>40</v>
      </c>
      <c r="I38" s="21">
        <v>36</v>
      </c>
      <c r="J38" s="21">
        <v>33</v>
      </c>
      <c r="K38" s="21">
        <v>37</v>
      </c>
      <c r="L38" s="24">
        <f t="shared" si="0"/>
        <v>2.5884358211089658</v>
      </c>
      <c r="M38" s="24">
        <f t="shared" si="1"/>
        <v>7.0337929921439297</v>
      </c>
      <c r="N38" s="62">
        <f t="shared" si="2"/>
        <v>36.799999999999997</v>
      </c>
      <c r="O38" s="62">
        <f>N38*10%+36.8</f>
        <v>40.479999999999997</v>
      </c>
      <c r="P38" s="67">
        <f t="shared" si="3"/>
        <v>485.76</v>
      </c>
      <c r="Q38" s="70">
        <v>1.4999999999999999E-2</v>
      </c>
      <c r="R38" s="71">
        <f t="shared" si="4"/>
        <v>900</v>
      </c>
      <c r="S38" s="62">
        <v>60000</v>
      </c>
      <c r="T38" s="69">
        <f t="shared" si="5"/>
        <v>1385.76</v>
      </c>
    </row>
    <row r="39" spans="1:20" ht="15.75">
      <c r="A39" s="32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N39" s="72" t="s">
        <v>13</v>
      </c>
      <c r="O39" s="73"/>
      <c r="P39" s="74"/>
      <c r="Q39" s="75"/>
      <c r="R39" s="62"/>
      <c r="S39" s="73"/>
      <c r="T39" s="76">
        <f>SUM(T12:T37)</f>
        <v>299918.576</v>
      </c>
    </row>
    <row r="40" spans="1:20" ht="15" customHeight="1">
      <c r="A40" s="30" t="s">
        <v>64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0"/>
    </row>
    <row r="41" spans="1:20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</row>
    <row r="42" spans="1:20" ht="15" customHeight="1">
      <c r="A42" s="37" t="s">
        <v>62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1:20">
      <c r="A43" s="36" t="s">
        <v>24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</row>
    <row r="44" spans="1:20">
      <c r="A44" s="36" t="s">
        <v>25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</row>
    <row r="45" spans="1:20" ht="15.75" thickBot="1">
      <c r="A45" s="1"/>
      <c r="B45" s="1"/>
      <c r="C45" s="1"/>
      <c r="D45" s="1"/>
      <c r="E45" s="1"/>
      <c r="F45" s="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20" ht="13.5" customHeight="1" thickBot="1">
      <c r="A46" s="49" t="s">
        <v>14</v>
      </c>
      <c r="B46" s="50"/>
      <c r="C46" s="50"/>
      <c r="D46" s="50"/>
      <c r="E46" s="10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20">
      <c r="A47" s="47"/>
      <c r="B47" s="48"/>
      <c r="C47" s="48"/>
      <c r="D47" s="48"/>
      <c r="E47" s="11"/>
      <c r="F47" s="1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20" ht="15.75" customHeight="1" thickBot="1">
      <c r="A48" s="45" t="s">
        <v>15</v>
      </c>
      <c r="B48" s="46"/>
      <c r="C48" s="46"/>
      <c r="D48" s="46"/>
      <c r="E48" s="13"/>
      <c r="F48" s="1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>
      <c r="A49" s="43" t="s">
        <v>26</v>
      </c>
      <c r="B49" s="44"/>
      <c r="C49" s="44"/>
      <c r="D49" s="44"/>
      <c r="E49" s="14"/>
      <c r="F49" s="1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ht="16.5" customHeight="1" thickBot="1">
      <c r="A50" s="41" t="s">
        <v>16</v>
      </c>
      <c r="B50" s="42"/>
      <c r="C50" s="42"/>
      <c r="D50" s="42"/>
      <c r="E50" s="15"/>
      <c r="F50" s="16"/>
      <c r="G50" s="17"/>
      <c r="H50" s="17"/>
      <c r="I50" s="17"/>
      <c r="J50" s="17"/>
      <c r="K50" s="17"/>
      <c r="L50" s="3"/>
      <c r="M50" s="3"/>
      <c r="N50" s="3"/>
      <c r="O50" s="3"/>
      <c r="P50" s="3"/>
      <c r="Q50" s="3"/>
      <c r="R50" s="3"/>
      <c r="S50" s="3"/>
    </row>
    <row r="51" spans="1:19" ht="15.75">
      <c r="A51" s="18"/>
      <c r="B51" s="18"/>
      <c r="C51" s="18"/>
      <c r="D51" s="18"/>
      <c r="E51" s="18"/>
      <c r="F51" s="16"/>
      <c r="G51" s="17"/>
      <c r="H51" s="17"/>
      <c r="I51" s="17"/>
      <c r="J51" s="17"/>
      <c r="K51" s="17"/>
      <c r="L51" s="3"/>
      <c r="M51" s="3"/>
      <c r="N51" s="3"/>
      <c r="O51" s="3"/>
      <c r="P51" s="3"/>
      <c r="Q51" s="3"/>
      <c r="R51" s="3"/>
      <c r="S51" s="3"/>
    </row>
    <row r="52" spans="1:19" ht="15.75">
      <c r="A52" s="19" t="s">
        <v>0</v>
      </c>
    </row>
  </sheetData>
  <mergeCells count="52">
    <mergeCell ref="B35:C35"/>
    <mergeCell ref="O10:O11"/>
    <mergeCell ref="A9:T9"/>
    <mergeCell ref="A10:A11"/>
    <mergeCell ref="B10:C11"/>
    <mergeCell ref="D10:D11"/>
    <mergeCell ref="E10:E11"/>
    <mergeCell ref="F10:F11"/>
    <mergeCell ref="N10:N11"/>
    <mergeCell ref="A8:T8"/>
    <mergeCell ref="A3:T3"/>
    <mergeCell ref="A6:B6"/>
    <mergeCell ref="C6:T6"/>
    <mergeCell ref="A7:B7"/>
    <mergeCell ref="C7:T7"/>
    <mergeCell ref="A50:D50"/>
    <mergeCell ref="A49:D49"/>
    <mergeCell ref="A48:D48"/>
    <mergeCell ref="A47:D47"/>
    <mergeCell ref="A46:D46"/>
    <mergeCell ref="B21:C21"/>
    <mergeCell ref="A44:T44"/>
    <mergeCell ref="A43:T43"/>
    <mergeCell ref="A42:T42"/>
    <mergeCell ref="A41:T41"/>
    <mergeCell ref="A40:T40"/>
    <mergeCell ref="B37:C37"/>
    <mergeCell ref="B26:C26"/>
    <mergeCell ref="B27:C27"/>
    <mergeCell ref="B28:C28"/>
    <mergeCell ref="B29:C29"/>
    <mergeCell ref="B36:C36"/>
    <mergeCell ref="B31:C31"/>
    <mergeCell ref="B32:C32"/>
    <mergeCell ref="B33:C33"/>
    <mergeCell ref="B34:C34"/>
    <mergeCell ref="B38:C38"/>
    <mergeCell ref="A39:L39"/>
    <mergeCell ref="B12:C12"/>
    <mergeCell ref="B14:C14"/>
    <mergeCell ref="B15:C15"/>
    <mergeCell ref="B30:C30"/>
    <mergeCell ref="B13:C13"/>
    <mergeCell ref="B16:C16"/>
    <mergeCell ref="B17:C17"/>
    <mergeCell ref="B18:C18"/>
    <mergeCell ref="B19:C19"/>
    <mergeCell ref="B22:C22"/>
    <mergeCell ref="B23:C23"/>
    <mergeCell ref="B24:C24"/>
    <mergeCell ref="B25:C25"/>
    <mergeCell ref="B20:C20"/>
  </mergeCells>
  <pageMargins left="0.39370078740157483" right="0.39370078740157483" top="0.39370078740157483" bottom="0.39370078740157483" header="0" footer="0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2026-06-08T03:02:45Z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