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E6C0481-1688-4300-BBFE-179F01F095CD}" xr6:coauthVersionLast="47" xr6:coauthVersionMax="47" xr10:uidLastSave="{00000000-0000-0000-0000-000000000000}"/>
  <bookViews>
    <workbookView xWindow="-120" yWindow="-120" windowWidth="29040" windowHeight="15990" tabRatio="610" xr2:uid="{00000000-000D-0000-FFFF-FFFF00000000}"/>
  </bookViews>
  <sheets>
    <sheet name="ЖВ не СЗ" sheetId="1" r:id="rId1"/>
  </sheets>
  <definedNames>
    <definedName name="_xlnm.Print_Titles" localSheetId="0">'ЖВ не СЗ'!$8:$9</definedName>
    <definedName name="_xlnm.Print_Area" localSheetId="0">'ЖВ не СЗ'!$A$1:$M$34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I16" i="1"/>
  <c r="L16" i="1" s="1"/>
  <c r="E15" i="1"/>
  <c r="E25" i="1"/>
  <c r="E24" i="1"/>
  <c r="E23" i="1"/>
  <c r="E31" i="1"/>
  <c r="E30" i="1"/>
  <c r="E29" i="1"/>
  <c r="E28" i="1"/>
  <c r="E27" i="1"/>
  <c r="E26" i="1"/>
  <c r="E22" i="1"/>
  <c r="E21" i="1"/>
  <c r="E20" i="1"/>
  <c r="E19" i="1"/>
  <c r="E18" i="1"/>
  <c r="E17" i="1"/>
  <c r="E14" i="1"/>
  <c r="E13" i="1"/>
  <c r="E12" i="1"/>
  <c r="E11" i="1"/>
  <c r="E10" i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L26" i="1" s="1"/>
  <c r="I27" i="1"/>
  <c r="J27" i="1" s="1"/>
  <c r="K27" i="1" s="1"/>
  <c r="I28" i="1"/>
  <c r="L28" i="1" s="1"/>
  <c r="I29" i="1"/>
  <c r="L29" i="1" s="1"/>
  <c r="I20" i="1"/>
  <c r="L20" i="1" s="1"/>
  <c r="I30" i="1"/>
  <c r="J30" i="1" s="1"/>
  <c r="K30" i="1" s="1"/>
  <c r="M28" i="1" l="1"/>
  <c r="M16" i="1"/>
  <c r="J16" i="1"/>
  <c r="K16" i="1" s="1"/>
  <c r="M29" i="1"/>
  <c r="M26" i="1"/>
  <c r="L23" i="1"/>
  <c r="M23" i="1" s="1"/>
  <c r="J28" i="1"/>
  <c r="K28" i="1" s="1"/>
  <c r="L27" i="1"/>
  <c r="M27" i="1" s="1"/>
  <c r="L22" i="1"/>
  <c r="M22" i="1" s="1"/>
  <c r="J29" i="1"/>
  <c r="K29" i="1" s="1"/>
  <c r="J26" i="1"/>
  <c r="K26" i="1" s="1"/>
  <c r="L25" i="1"/>
  <c r="M25" i="1" s="1"/>
  <c r="L21" i="1"/>
  <c r="M21" i="1" s="1"/>
  <c r="L24" i="1"/>
  <c r="M24" i="1" s="1"/>
  <c r="J20" i="1"/>
  <c r="K20" i="1" s="1"/>
  <c r="M20" i="1"/>
  <c r="L30" i="1"/>
  <c r="M30" i="1" s="1"/>
  <c r="I10" i="1"/>
  <c r="J10" i="1" s="1"/>
  <c r="K10" i="1" s="1"/>
  <c r="I11" i="1"/>
  <c r="L11" i="1" s="1"/>
  <c r="M11" i="1" s="1"/>
  <c r="I12" i="1"/>
  <c r="L12" i="1" s="1"/>
  <c r="M12" i="1" s="1"/>
  <c r="I13" i="1"/>
  <c r="L13" i="1" s="1"/>
  <c r="M13" i="1" s="1"/>
  <c r="I14" i="1"/>
  <c r="J14" i="1" s="1"/>
  <c r="K14" i="1" s="1"/>
  <c r="I15" i="1"/>
  <c r="J15" i="1" s="1"/>
  <c r="K15" i="1" s="1"/>
  <c r="I17" i="1"/>
  <c r="L17" i="1" s="1"/>
  <c r="M17" i="1" s="1"/>
  <c r="I18" i="1"/>
  <c r="J18" i="1" s="1"/>
  <c r="K18" i="1" s="1"/>
  <c r="I19" i="1"/>
  <c r="L19" i="1" s="1"/>
  <c r="M19" i="1" s="1"/>
  <c r="E32" i="1"/>
  <c r="I31" i="1"/>
  <c r="J19" i="1" l="1"/>
  <c r="K19" i="1" s="1"/>
  <c r="L18" i="1"/>
  <c r="M18" i="1" s="1"/>
  <c r="J17" i="1"/>
  <c r="K17" i="1" s="1"/>
  <c r="L10" i="1"/>
  <c r="M10" i="1" s="1"/>
  <c r="J13" i="1"/>
  <c r="K13" i="1" s="1"/>
  <c r="J12" i="1"/>
  <c r="K12" i="1" s="1"/>
  <c r="J11" i="1"/>
  <c r="K11" i="1" s="1"/>
  <c r="L14" i="1"/>
  <c r="M14" i="1" s="1"/>
  <c r="L15" i="1"/>
  <c r="M15" i="1" s="1"/>
  <c r="J31" i="1"/>
  <c r="K31" i="1" s="1"/>
  <c r="L31" i="1" l="1"/>
  <c r="M31" i="1" s="1"/>
  <c r="M32" i="1" s="1"/>
</calcChain>
</file>

<file path=xl/sharedStrings.xml><?xml version="1.0" encoding="utf-8"?>
<sst xmlns="http://schemas.openxmlformats.org/spreadsheetml/2006/main" count="100" uniqueCount="76">
  <si>
    <t>№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</si>
  <si>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</si>
  <si>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</si>
  <si>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</si>
  <si>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</si>
  <si>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</si>
  <si>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ИТОГО:</t>
  </si>
  <si>
    <t>Х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</si>
  <si>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</si>
  <si>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Оценка однородности совокупности значений выявленных цен, используемых в расчете Н(М)ЦД, ЦКЕП</t>
  </si>
  <si>
    <t>Н(М)ЦД, определяемая методом сопоставимых рыночных цен (анализа рынка)*</t>
  </si>
  <si>
    <t xml:space="preserve"> </t>
  </si>
  <si>
    <t>РАСЧЕТ НМЦК</t>
  </si>
  <si>
    <t>Предмет закупки</t>
  </si>
  <si>
    <t>Способ определения поставщика (исполнителя, подрядчика)</t>
  </si>
  <si>
    <t xml:space="preserve">Расчет НМЦК (рын) произведен по формуле:
где V - количество (объем) закупаемого товара; n - количество значений, используемых в расчете; i - номер источника ценовой информации; Цi - цена единицы товара                            </t>
  </si>
  <si>
    <t xml:space="preserve">Обоснование начальной (максимальной) цены контракта         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</si>
  <si>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 (в соответствии с п.6 ст.22 44-ФЗ) 
Расчет выполнен в соответствии с Методическими рекомендациями, утвержденными приказом МЭР РФ от 02.10.2013 №568</t>
  </si>
  <si>
    <t xml:space="preserve">Дата подготовки обоснования НМЦК: </t>
  </si>
  <si>
    <t xml:space="preserve">Дозировка
Лекарственная форма
</t>
  </si>
  <si>
    <t>Используемый метод определения НМЦК с обоснованием:</t>
  </si>
  <si>
    <t>Ацетазоламид</t>
  </si>
  <si>
    <t>Ацетилцистеин</t>
  </si>
  <si>
    <t>Бензилбензоат</t>
  </si>
  <si>
    <t>Бисакодил</t>
  </si>
  <si>
    <t>Декстроза +Калия хлорид +Натрия хлорид +Натрия цитрат</t>
  </si>
  <si>
    <t>Дротаверин</t>
  </si>
  <si>
    <t>Калия и магния аспарагинат</t>
  </si>
  <si>
    <t>Кальция глюконат</t>
  </si>
  <si>
    <t>Ксилометазолин</t>
  </si>
  <si>
    <t>Лоратадин</t>
  </si>
  <si>
    <t>Метоклопрамид</t>
  </si>
  <si>
    <t>Водорода пероксид</t>
  </si>
  <si>
    <t>Прокаин</t>
  </si>
  <si>
    <t>Салициловая кислота</t>
  </si>
  <si>
    <t>Сеннозиды А и В</t>
  </si>
  <si>
    <t>Тиамин</t>
  </si>
  <si>
    <t>Хлоропирамин</t>
  </si>
  <si>
    <t>Цефепим</t>
  </si>
  <si>
    <t>Цианокобаламин</t>
  </si>
  <si>
    <t>Этамзилат</t>
  </si>
  <si>
    <t>~ №20 таблетки</t>
  </si>
  <si>
    <t>шт</t>
  </si>
  <si>
    <t>г</t>
  </si>
  <si>
    <t>мл</t>
  </si>
  <si>
    <t xml:space="preserve"> ПМ КП вх№
от 16.04.2026</t>
  </si>
  <si>
    <r>
      <t xml:space="preserve">коэффициент вариации цен V (%)  </t>
    </r>
    <r>
      <rPr>
        <i/>
        <sz val="12"/>
        <rFont val="Times New Roman"/>
        <family val="1"/>
        <charset val="204"/>
      </rPr>
      <t xml:space="preserve"> (не должен превышать 33%)</t>
    </r>
  </si>
  <si>
    <t>ЛАНК КП вх№
от 16.04.2027</t>
  </si>
  <si>
    <t>АНСИМЕД КП вх№
от 16.04.2028</t>
  </si>
  <si>
    <t>Средняя арифметическая цена за единицу, руб.</t>
  </si>
  <si>
    <t>Наименование товара МНН</t>
  </si>
  <si>
    <t>УТВЕРЖДАЮ
Директор А. А. Никитин
«___ » __________ 2026 года</t>
  </si>
  <si>
    <t>Поставка лекарственных препаратов (ОС_ЖВ_не СЗ_1)</t>
  </si>
  <si>
    <t>250 мг  таблетки</t>
  </si>
  <si>
    <t>600 мг гранулы для приготовления раствора для приема внутрь</t>
  </si>
  <si>
    <t>20 % 25г  мазь для наружного применения</t>
  </si>
  <si>
    <t>20 % 200 г эмульсия для наружн прим</t>
  </si>
  <si>
    <t>5 мг  таблетки кишечнорастворимые покрытые пленочной оболочкой</t>
  </si>
  <si>
    <t>~ №20 порошок для приготовления раствора для приема внутрь</t>
  </si>
  <si>
    <t>175 мг+175 мг  таблетки</t>
  </si>
  <si>
    <t>100 мг/мл 10мл  раствор для внутривенного и внутримышечного введения</t>
  </si>
  <si>
    <t>0,1 % 15 мл  спрей назальный</t>
  </si>
  <si>
    <t>10мг  таблетки</t>
  </si>
  <si>
    <t>10 мг  таблетки</t>
  </si>
  <si>
    <t>5 мг/мл 2 мл  р-р для в/в и в/м введ</t>
  </si>
  <si>
    <t>3 % 100 мл  раствор для местного и наружного применения</t>
  </si>
  <si>
    <t>20 мг/мл 2мл  раствор для инъекций</t>
  </si>
  <si>
    <t>2 % 25 г мазь для наружного применения</t>
  </si>
  <si>
    <t>25 мг  таблетки</t>
  </si>
  <si>
    <t>1 г  порошок для приготовления раствора для внутривенного и внутримышечного введения</t>
  </si>
  <si>
    <t>125 мг/мл 2 мл  раствор для инъекций</t>
  </si>
  <si>
    <t>500 мкг 1 мл  р-р д/ин</t>
  </si>
  <si>
    <t>50 мг/мл 1 мл  раствор для внутримышечного введения</t>
  </si>
  <si>
    <t>20 мг/мл
ампула 2 мл</t>
  </si>
  <si>
    <t>Коэффициент вариации не превышает 33%, совокупность цен принимается однородной, изменчивость вариационного ряда допустимая.
Начальная максимальная цена контракта устанавливается в размере: 176 313,60 (Стот семьдесят  шесть тысяч триста тринадцать рублей 60 копеек)</t>
  </si>
  <si>
    <t>Ценовой запрос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</si>
</sst>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#########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10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8" fillId="0" borderId="0" xfId="0" applyFont="1" applyFill="1"/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2" fontId="3" fillId="0" borderId="0" xfId="0" applyNumberFormat="1" applyFont="1" applyFill="1" applyAlignment="1">
      <alignment wrapText="1"/>
    </xf>
    <xf numFmtId="0" fontId="2" fillId="0" borderId="0" xfId="0" applyFont="1" applyFill="1" applyAlignment="1"/>
    <xf numFmtId="2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9" fontId="5" fillId="0" borderId="1" xfId="0" applyNumberFormat="1" applyFont="1" applyFill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/>
    <xf numFmtId="2" fontId="5" fillId="0" borderId="1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169208</xdr:colOff>
      <xdr:row>8</xdr:row>
      <xdr:rowOff>1456765</xdr:rowOff>
    </xdr:from>
    <xdr:to>
      <xdr:col>9</xdr:col>
      <xdr:colOff>1121833</xdr:colOff>
      <xdr:row>8</xdr:row>
      <xdr:rowOff>1942065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51283" y="3923740"/>
          <a:ext cx="952625" cy="48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163195</xdr:colOff>
      <xdr:row>6</xdr:row>
      <xdr:rowOff>182245</xdr:rowOff>
    </xdr:from>
    <xdr:to>
      <xdr:col>1</xdr:col>
      <xdr:colOff>1473677</xdr:colOff>
      <xdr:row>6</xdr:row>
      <xdr:rowOff>1028700</xdr:rowOff>
    </xdr:to>
    <xdr:pic>
      <xdr:nvPicPr>
        <xdr:cNvPr id="4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95" y="3861276"/>
          <a:ext cx="1608138" cy="8464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view="pageBreakPreview" topLeftCell="A16" zoomScaleNormal="80" zoomScaleSheetLayoutView="100" workbookViewId="0">
      <selection activeCell="C4" sqref="C4:M4"/>
    </sheetView>
  </sheetViews>
  <sheetFormatPr defaultColWidth="9.140625" defaultRowHeight="15.75" x14ac:dyDescent="0.25"/>
  <cols>
    <col min="1" max="1" width="4.42578125" style="6" bestFit="1" customWidth="1"/>
    <col min="2" max="2" width="25.5703125" style="6" customWidth="1"/>
    <col min="3" max="3" width="38.28515625" style="6" customWidth="1"/>
    <col min="4" max="4" width="8.5703125" style="6" customWidth="1"/>
    <col min="5" max="5" width="12.42578125" style="6" customWidth="1"/>
    <col min="6" max="8" width="13.42578125" style="6" customWidth="1"/>
    <col min="9" max="9" width="16.7109375" style="6" customWidth="1"/>
    <col min="10" max="10" width="10.140625" style="6" customWidth="1"/>
    <col min="11" max="11" width="17" style="6" customWidth="1"/>
    <col min="12" max="12" width="15.85546875" style="6" customWidth="1"/>
    <col min="13" max="13" width="26.85546875" style="6" customWidth="1"/>
    <col min="14" max="16384" width="9.140625" style="6"/>
  </cols>
  <sheetData>
    <row r="1" spans="1:13" s="12" customFormat="1" ht="86.25" customHeight="1" x14ac:dyDescent="0.25">
      <c r="A1" s="10" t="s">
        <v>11</v>
      </c>
      <c r="B1" s="10"/>
      <c r="C1" s="10"/>
      <c r="D1" s="10"/>
      <c r="E1" s="10"/>
      <c r="F1" s="11"/>
      <c r="G1" s="11"/>
      <c r="H1" s="11"/>
      <c r="I1" s="11"/>
      <c r="J1" s="11"/>
      <c r="L1" s="11"/>
      <c r="M1" s="13" t="s">
        <v>51</v>
      </c>
    </row>
    <row r="2" spans="1:13" s="14" customFormat="1" x14ac:dyDescent="0.25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14" customFormat="1" ht="20.25" customHeight="1" x14ac:dyDescent="0.25">
      <c r="A3" s="53" t="s">
        <v>13</v>
      </c>
      <c r="B3" s="53"/>
      <c r="C3" s="41" t="s">
        <v>52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s="14" customFormat="1" ht="33.75" customHeight="1" x14ac:dyDescent="0.25">
      <c r="A4" s="44" t="s">
        <v>14</v>
      </c>
      <c r="B4" s="46"/>
      <c r="C4" s="44" t="s">
        <v>75</v>
      </c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s="14" customFormat="1" ht="51" customHeight="1" x14ac:dyDescent="0.25">
      <c r="A5" s="54" t="s">
        <v>20</v>
      </c>
      <c r="B5" s="54"/>
      <c r="C5" s="44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s="14" customFormat="1" ht="18.75" customHeight="1" x14ac:dyDescent="0.25">
      <c r="A6" s="47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s="14" customFormat="1" ht="103.5" customHeight="1" x14ac:dyDescent="0.25">
      <c r="A7" s="50" t="s">
        <v>15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15" customFormat="1" ht="53.25" customHeight="1" x14ac:dyDescent="0.25">
      <c r="A8" s="34" t="s">
        <v>0</v>
      </c>
      <c r="B8" s="34" t="s">
        <v>50</v>
      </c>
      <c r="C8" s="34" t="s">
        <v>19</v>
      </c>
      <c r="D8" s="34" t="s">
        <v>1</v>
      </c>
      <c r="E8" s="34" t="s">
        <v>2</v>
      </c>
      <c r="F8" s="38" t="s">
        <v>3</v>
      </c>
      <c r="G8" s="39"/>
      <c r="H8" s="39"/>
      <c r="I8" s="36" t="s">
        <v>9</v>
      </c>
      <c r="J8" s="36"/>
      <c r="K8" s="36"/>
      <c r="L8" s="37" t="s">
        <v>10</v>
      </c>
      <c r="M8" s="37"/>
    </row>
    <row r="9" spans="1:13" s="15" customFormat="1" ht="110.25" x14ac:dyDescent="0.25">
      <c r="A9" s="35"/>
      <c r="B9" s="35"/>
      <c r="C9" s="35"/>
      <c r="D9" s="35"/>
      <c r="E9" s="35"/>
      <c r="F9" s="9" t="s">
        <v>45</v>
      </c>
      <c r="G9" s="9" t="s">
        <v>47</v>
      </c>
      <c r="H9" s="9" t="s">
        <v>48</v>
      </c>
      <c r="I9" s="9" t="s">
        <v>4</v>
      </c>
      <c r="J9" s="9" t="s">
        <v>5</v>
      </c>
      <c r="K9" s="9" t="s">
        <v>46</v>
      </c>
      <c r="L9" s="9" t="s">
        <v>49</v>
      </c>
      <c r="M9" s="9" t="s">
        <v>8</v>
      </c>
    </row>
    <row r="10" spans="1:13" s="18" customFormat="1" x14ac:dyDescent="0.25">
      <c r="A10" s="1">
        <v>1</v>
      </c>
      <c r="B10" s="16" t="s">
        <v>21</v>
      </c>
      <c r="C10" s="16" t="s">
        <v>53</v>
      </c>
      <c r="D10" s="17" t="s">
        <v>42</v>
      </c>
      <c r="E10" s="2">
        <f>1500/2</f>
        <v>750</v>
      </c>
      <c r="F10" s="2">
        <v>8.5399999999999991</v>
      </c>
      <c r="G10" s="27">
        <v>8.5399999999999991</v>
      </c>
      <c r="H10" s="2">
        <v>8.5399999999999991</v>
      </c>
      <c r="I10" s="2">
        <f t="shared" ref="I10:I19" si="0">ROUND(AVERAGE(F10:H10),2)</f>
        <v>8.5399999999999991</v>
      </c>
      <c r="J10" s="3">
        <f t="shared" ref="J10:J19" si="1">SQRT(((SUM((POWER(H10-I10,2)),(POWER(G10-I10,2)),(POWER(F10-I10,2)))/(COLUMNS(F10:H10)-1))))</f>
        <v>0</v>
      </c>
      <c r="K10" s="3">
        <f t="shared" ref="K10:K19" si="2">J10/I10*100</f>
        <v>0</v>
      </c>
      <c r="L10" s="4">
        <f t="shared" ref="L10:L19" si="3">I10</f>
        <v>8.5399999999999991</v>
      </c>
      <c r="M10" s="4">
        <f t="shared" ref="M10:M19" si="4">ROUND(L10*E10,2)</f>
        <v>6405</v>
      </c>
    </row>
    <row r="11" spans="1:13" s="18" customFormat="1" ht="31.5" x14ac:dyDescent="0.25">
      <c r="A11" s="1">
        <v>2</v>
      </c>
      <c r="B11" s="16" t="s">
        <v>22</v>
      </c>
      <c r="C11" s="16" t="s">
        <v>54</v>
      </c>
      <c r="D11" s="17" t="s">
        <v>42</v>
      </c>
      <c r="E11" s="2">
        <f>1000/2</f>
        <v>500</v>
      </c>
      <c r="F11" s="2">
        <v>15.8</v>
      </c>
      <c r="G11" s="27">
        <v>15.8</v>
      </c>
      <c r="H11" s="2">
        <v>15.8</v>
      </c>
      <c r="I11" s="2">
        <f t="shared" si="0"/>
        <v>15.8</v>
      </c>
      <c r="J11" s="3">
        <f t="shared" si="1"/>
        <v>0</v>
      </c>
      <c r="K11" s="3">
        <f t="shared" si="2"/>
        <v>0</v>
      </c>
      <c r="L11" s="4">
        <f t="shared" si="3"/>
        <v>15.8</v>
      </c>
      <c r="M11" s="4">
        <f t="shared" si="4"/>
        <v>7900</v>
      </c>
    </row>
    <row r="12" spans="1:13" s="18" customFormat="1" ht="31.5" x14ac:dyDescent="0.25">
      <c r="A12" s="1">
        <v>3</v>
      </c>
      <c r="B12" s="16" t="s">
        <v>23</v>
      </c>
      <c r="C12" s="16" t="s">
        <v>55</v>
      </c>
      <c r="D12" s="17" t="s">
        <v>43</v>
      </c>
      <c r="E12" s="2">
        <f>12500/2</f>
        <v>6250</v>
      </c>
      <c r="F12" s="2">
        <v>1.63</v>
      </c>
      <c r="G12" s="27">
        <v>1.63</v>
      </c>
      <c r="H12" s="2">
        <v>1.63</v>
      </c>
      <c r="I12" s="2">
        <f t="shared" si="0"/>
        <v>1.63</v>
      </c>
      <c r="J12" s="3">
        <f t="shared" si="1"/>
        <v>0</v>
      </c>
      <c r="K12" s="3">
        <f t="shared" si="2"/>
        <v>0</v>
      </c>
      <c r="L12" s="4">
        <f t="shared" si="3"/>
        <v>1.63</v>
      </c>
      <c r="M12" s="4">
        <f>ROUND(L12*E12,2)</f>
        <v>10187.5</v>
      </c>
    </row>
    <row r="13" spans="1:13" s="18" customFormat="1" ht="31.5" x14ac:dyDescent="0.25">
      <c r="A13" s="1">
        <v>4</v>
      </c>
      <c r="B13" s="16" t="s">
        <v>23</v>
      </c>
      <c r="C13" s="19" t="s">
        <v>56</v>
      </c>
      <c r="D13" s="17" t="s">
        <v>43</v>
      </c>
      <c r="E13" s="2">
        <f>40000/2</f>
        <v>20000</v>
      </c>
      <c r="F13" s="2">
        <v>0.85</v>
      </c>
      <c r="G13" s="27">
        <v>0.85</v>
      </c>
      <c r="H13" s="2">
        <v>0.85</v>
      </c>
      <c r="I13" s="2">
        <f t="shared" si="0"/>
        <v>0.85</v>
      </c>
      <c r="J13" s="3">
        <f t="shared" si="1"/>
        <v>0</v>
      </c>
      <c r="K13" s="3">
        <f t="shared" si="2"/>
        <v>0</v>
      </c>
      <c r="L13" s="4">
        <f t="shared" si="3"/>
        <v>0.85</v>
      </c>
      <c r="M13" s="4">
        <f t="shared" si="4"/>
        <v>17000</v>
      </c>
    </row>
    <row r="14" spans="1:13" s="18" customFormat="1" ht="31.5" x14ac:dyDescent="0.25">
      <c r="A14" s="1">
        <v>5</v>
      </c>
      <c r="B14" s="16" t="s">
        <v>24</v>
      </c>
      <c r="C14" s="16" t="s">
        <v>57</v>
      </c>
      <c r="D14" s="17" t="s">
        <v>42</v>
      </c>
      <c r="E14" s="2">
        <f>3000/2</f>
        <v>1500</v>
      </c>
      <c r="F14" s="2">
        <v>7.41</v>
      </c>
      <c r="G14" s="27">
        <v>7.41</v>
      </c>
      <c r="H14" s="2">
        <v>7.41</v>
      </c>
      <c r="I14" s="2">
        <f t="shared" si="0"/>
        <v>7.41</v>
      </c>
      <c r="J14" s="3">
        <f t="shared" si="1"/>
        <v>0</v>
      </c>
      <c r="K14" s="3">
        <f t="shared" si="2"/>
        <v>0</v>
      </c>
      <c r="L14" s="4">
        <f t="shared" si="3"/>
        <v>7.41</v>
      </c>
      <c r="M14" s="4">
        <f t="shared" si="4"/>
        <v>11115</v>
      </c>
    </row>
    <row r="15" spans="1:13" s="18" customFormat="1" ht="47.25" x14ac:dyDescent="0.25">
      <c r="A15" s="1">
        <v>6</v>
      </c>
      <c r="B15" s="16" t="s">
        <v>25</v>
      </c>
      <c r="C15" s="19" t="s">
        <v>58</v>
      </c>
      <c r="D15" s="17" t="s">
        <v>43</v>
      </c>
      <c r="E15" s="2">
        <f>756</f>
        <v>756</v>
      </c>
      <c r="F15" s="2">
        <v>2.1</v>
      </c>
      <c r="G15" s="27">
        <v>2.1</v>
      </c>
      <c r="H15" s="2">
        <v>2.1</v>
      </c>
      <c r="I15" s="2">
        <f t="shared" si="0"/>
        <v>2.1</v>
      </c>
      <c r="J15" s="3">
        <f t="shared" si="1"/>
        <v>0</v>
      </c>
      <c r="K15" s="3">
        <f t="shared" si="2"/>
        <v>0</v>
      </c>
      <c r="L15" s="4">
        <f t="shared" si="3"/>
        <v>2.1</v>
      </c>
      <c r="M15" s="4">
        <f t="shared" si="4"/>
        <v>1587.6</v>
      </c>
    </row>
    <row r="16" spans="1:13" s="18" customFormat="1" ht="31.5" x14ac:dyDescent="0.25">
      <c r="A16" s="1">
        <v>7</v>
      </c>
      <c r="B16" s="16" t="s">
        <v>26</v>
      </c>
      <c r="C16" s="16" t="s">
        <v>73</v>
      </c>
      <c r="D16" s="17" t="s">
        <v>44</v>
      </c>
      <c r="E16" s="2">
        <f>600/2</f>
        <v>300</v>
      </c>
      <c r="F16" s="2">
        <v>7.56</v>
      </c>
      <c r="G16" s="27">
        <v>7.56</v>
      </c>
      <c r="H16" s="2">
        <v>7.56</v>
      </c>
      <c r="I16" s="2">
        <f t="shared" ref="I16" si="5">ROUND(AVERAGE(F16:H16),2)</f>
        <v>7.56</v>
      </c>
      <c r="J16" s="3">
        <f t="shared" ref="J16" si="6">SQRT(((SUM((POWER(H16-I16,2)),(POWER(G16-I16,2)),(POWER(F16-I16,2)))/(COLUMNS(F16:H16)-1))))</f>
        <v>0</v>
      </c>
      <c r="K16" s="3">
        <f t="shared" ref="K16" si="7">J16/I16*100</f>
        <v>0</v>
      </c>
      <c r="L16" s="4">
        <f t="shared" ref="L16" si="8">I16</f>
        <v>7.56</v>
      </c>
      <c r="M16" s="4">
        <f t="shared" ref="M16" si="9">ROUND(L16*E16,2)</f>
        <v>2268</v>
      </c>
    </row>
    <row r="17" spans="1:13" s="18" customFormat="1" ht="31.5" x14ac:dyDescent="0.25">
      <c r="A17" s="1">
        <v>8</v>
      </c>
      <c r="B17" s="16" t="s">
        <v>27</v>
      </c>
      <c r="C17" s="19" t="s">
        <v>59</v>
      </c>
      <c r="D17" s="17" t="s">
        <v>42</v>
      </c>
      <c r="E17" s="2">
        <f>5000/2</f>
        <v>2500</v>
      </c>
      <c r="F17" s="2">
        <v>1.87</v>
      </c>
      <c r="G17" s="27">
        <v>1.87</v>
      </c>
      <c r="H17" s="2">
        <v>1.87</v>
      </c>
      <c r="I17" s="2">
        <f t="shared" si="0"/>
        <v>1.87</v>
      </c>
      <c r="J17" s="3">
        <f t="shared" si="1"/>
        <v>0</v>
      </c>
      <c r="K17" s="3">
        <f t="shared" si="2"/>
        <v>0</v>
      </c>
      <c r="L17" s="4">
        <f t="shared" si="3"/>
        <v>1.87</v>
      </c>
      <c r="M17" s="4">
        <f t="shared" si="4"/>
        <v>4675</v>
      </c>
    </row>
    <row r="18" spans="1:13" s="18" customFormat="1" ht="47.25" x14ac:dyDescent="0.25">
      <c r="A18" s="1">
        <v>9</v>
      </c>
      <c r="B18" s="16" t="s">
        <v>28</v>
      </c>
      <c r="C18" s="16" t="s">
        <v>60</v>
      </c>
      <c r="D18" s="17" t="s">
        <v>44</v>
      </c>
      <c r="E18" s="2">
        <f>1000/2</f>
        <v>500</v>
      </c>
      <c r="F18" s="2">
        <v>2.52</v>
      </c>
      <c r="G18" s="27">
        <v>2.52</v>
      </c>
      <c r="H18" s="2">
        <v>2.52</v>
      </c>
      <c r="I18" s="2">
        <f t="shared" si="0"/>
        <v>2.52</v>
      </c>
      <c r="J18" s="3">
        <f t="shared" si="1"/>
        <v>0</v>
      </c>
      <c r="K18" s="3">
        <f t="shared" si="2"/>
        <v>0</v>
      </c>
      <c r="L18" s="4">
        <f t="shared" si="3"/>
        <v>2.52</v>
      </c>
      <c r="M18" s="4">
        <f t="shared" si="4"/>
        <v>1260</v>
      </c>
    </row>
    <row r="19" spans="1:13" s="18" customFormat="1" x14ac:dyDescent="0.25">
      <c r="A19" s="1">
        <v>10</v>
      </c>
      <c r="B19" s="16" t="s">
        <v>29</v>
      </c>
      <c r="C19" s="16" t="s">
        <v>61</v>
      </c>
      <c r="D19" s="17" t="s">
        <v>44</v>
      </c>
      <c r="E19" s="2">
        <f>4500/2</f>
        <v>2250</v>
      </c>
      <c r="F19" s="2">
        <v>13.45</v>
      </c>
      <c r="G19" s="27">
        <v>13.45</v>
      </c>
      <c r="H19" s="2">
        <v>13.45</v>
      </c>
      <c r="I19" s="2">
        <f t="shared" si="0"/>
        <v>13.45</v>
      </c>
      <c r="J19" s="3">
        <f t="shared" si="1"/>
        <v>0</v>
      </c>
      <c r="K19" s="3">
        <f t="shared" si="2"/>
        <v>0</v>
      </c>
      <c r="L19" s="4">
        <f t="shared" si="3"/>
        <v>13.45</v>
      </c>
      <c r="M19" s="4">
        <f t="shared" si="4"/>
        <v>30262.5</v>
      </c>
    </row>
    <row r="20" spans="1:13" s="18" customFormat="1" x14ac:dyDescent="0.25">
      <c r="A20" s="1">
        <v>11</v>
      </c>
      <c r="B20" s="16" t="s">
        <v>30</v>
      </c>
      <c r="C20" s="20" t="s">
        <v>62</v>
      </c>
      <c r="D20" s="17" t="s">
        <v>42</v>
      </c>
      <c r="E20" s="2">
        <f>6000/2</f>
        <v>3000</v>
      </c>
      <c r="F20" s="2">
        <v>2.3199999999999998</v>
      </c>
      <c r="G20" s="27">
        <v>2.3199999999999998</v>
      </c>
      <c r="H20" s="2">
        <v>2.3199999999999998</v>
      </c>
      <c r="I20" s="2">
        <f t="shared" ref="I20:I30" si="10">ROUND(AVERAGE(F20:H20),2)</f>
        <v>2.3199999999999998</v>
      </c>
      <c r="J20" s="3">
        <f t="shared" ref="J20:J30" si="11">SQRT(((SUM((POWER(H20-I20,2)),(POWER(G20-I20,2)),(POWER(F20-I20,2)))/(COLUMNS(F20:H20)-1))))</f>
        <v>0</v>
      </c>
      <c r="K20" s="3">
        <f t="shared" ref="K20:K30" si="12">J20/I20*100</f>
        <v>0</v>
      </c>
      <c r="L20" s="4">
        <f t="shared" ref="L20:L30" si="13">I20</f>
        <v>2.3199999999999998</v>
      </c>
      <c r="M20" s="4">
        <f t="shared" ref="M20:M30" si="14">ROUND(L20*E20,2)</f>
        <v>6960</v>
      </c>
    </row>
    <row r="21" spans="1:13" s="18" customFormat="1" x14ac:dyDescent="0.25">
      <c r="A21" s="1">
        <v>12</v>
      </c>
      <c r="B21" s="16" t="s">
        <v>31</v>
      </c>
      <c r="C21" s="19" t="s">
        <v>63</v>
      </c>
      <c r="D21" s="17" t="s">
        <v>42</v>
      </c>
      <c r="E21" s="2">
        <f>1000/2</f>
        <v>500</v>
      </c>
      <c r="F21" s="2">
        <v>2.4</v>
      </c>
      <c r="G21" s="27">
        <v>2.4</v>
      </c>
      <c r="H21" s="2">
        <v>2.4</v>
      </c>
      <c r="I21" s="2">
        <f t="shared" ref="I21:I29" si="15">ROUND(AVERAGE(F21:H21),2)</f>
        <v>2.4</v>
      </c>
      <c r="J21" s="3">
        <f t="shared" ref="J21:J29" si="16">SQRT(((SUM((POWER(H21-I21,2)),(POWER(G21-I21,2)),(POWER(F21-I21,2)))/(COLUMNS(F21:H21)-1))))</f>
        <v>0</v>
      </c>
      <c r="K21" s="3">
        <f t="shared" ref="K21:K29" si="17">J21/I21*100</f>
        <v>0</v>
      </c>
      <c r="L21" s="4">
        <f t="shared" ref="L21:L29" si="18">I21</f>
        <v>2.4</v>
      </c>
      <c r="M21" s="4">
        <f t="shared" ref="M21:M29" si="19">ROUND(L21*E21,2)</f>
        <v>1200</v>
      </c>
    </row>
    <row r="22" spans="1:13" s="18" customFormat="1" x14ac:dyDescent="0.25">
      <c r="A22" s="1">
        <v>13</v>
      </c>
      <c r="B22" s="16" t="s">
        <v>31</v>
      </c>
      <c r="C22" s="19" t="s">
        <v>64</v>
      </c>
      <c r="D22" s="17" t="s">
        <v>44</v>
      </c>
      <c r="E22" s="2">
        <f>400/2</f>
        <v>200</v>
      </c>
      <c r="F22" s="2">
        <v>5.93</v>
      </c>
      <c r="G22" s="27">
        <v>5.93</v>
      </c>
      <c r="H22" s="2">
        <v>5.93</v>
      </c>
      <c r="I22" s="2">
        <f t="shared" si="15"/>
        <v>5.93</v>
      </c>
      <c r="J22" s="3">
        <f t="shared" si="16"/>
        <v>0</v>
      </c>
      <c r="K22" s="3">
        <f t="shared" si="17"/>
        <v>0</v>
      </c>
      <c r="L22" s="4">
        <f t="shared" si="18"/>
        <v>5.93</v>
      </c>
      <c r="M22" s="4">
        <f t="shared" si="19"/>
        <v>1186</v>
      </c>
    </row>
    <row r="23" spans="1:13" s="18" customFormat="1" ht="31.5" x14ac:dyDescent="0.25">
      <c r="A23" s="1">
        <v>14</v>
      </c>
      <c r="B23" s="16" t="s">
        <v>32</v>
      </c>
      <c r="C23" s="19" t="s">
        <v>65</v>
      </c>
      <c r="D23" s="17" t="s">
        <v>44</v>
      </c>
      <c r="E23" s="2">
        <f>60000/2</f>
        <v>30000</v>
      </c>
      <c r="F23" s="2">
        <v>0.13</v>
      </c>
      <c r="G23" s="27">
        <v>0.13</v>
      </c>
      <c r="H23" s="2">
        <v>0.13</v>
      </c>
      <c r="I23" s="2">
        <f t="shared" si="15"/>
        <v>0.13</v>
      </c>
      <c r="J23" s="3">
        <f t="shared" si="16"/>
        <v>0</v>
      </c>
      <c r="K23" s="3">
        <f t="shared" si="17"/>
        <v>0</v>
      </c>
      <c r="L23" s="4">
        <f t="shared" si="18"/>
        <v>0.13</v>
      </c>
      <c r="M23" s="4">
        <f t="shared" si="19"/>
        <v>3900</v>
      </c>
    </row>
    <row r="24" spans="1:13" s="18" customFormat="1" x14ac:dyDescent="0.25">
      <c r="A24" s="1">
        <v>15</v>
      </c>
      <c r="B24" s="16" t="s">
        <v>33</v>
      </c>
      <c r="C24" s="19" t="s">
        <v>66</v>
      </c>
      <c r="D24" s="17" t="s">
        <v>44</v>
      </c>
      <c r="E24" s="2">
        <f>1000/2</f>
        <v>500</v>
      </c>
      <c r="F24" s="2">
        <v>2.36</v>
      </c>
      <c r="G24" s="27">
        <v>2.36</v>
      </c>
      <c r="H24" s="2">
        <v>2.36</v>
      </c>
      <c r="I24" s="2">
        <f t="shared" si="15"/>
        <v>2.36</v>
      </c>
      <c r="J24" s="3">
        <f t="shared" si="16"/>
        <v>0</v>
      </c>
      <c r="K24" s="3">
        <f t="shared" si="17"/>
        <v>0</v>
      </c>
      <c r="L24" s="4">
        <f t="shared" si="18"/>
        <v>2.36</v>
      </c>
      <c r="M24" s="4">
        <f t="shared" si="19"/>
        <v>1180</v>
      </c>
    </row>
    <row r="25" spans="1:13" s="18" customFormat="1" ht="31.5" x14ac:dyDescent="0.25">
      <c r="A25" s="1">
        <v>16</v>
      </c>
      <c r="B25" s="16" t="s">
        <v>34</v>
      </c>
      <c r="C25" s="19" t="s">
        <v>67</v>
      </c>
      <c r="D25" s="17" t="s">
        <v>43</v>
      </c>
      <c r="E25" s="2">
        <f>1250/2</f>
        <v>625</v>
      </c>
      <c r="F25" s="2">
        <v>1.52</v>
      </c>
      <c r="G25" s="27">
        <v>1.52</v>
      </c>
      <c r="H25" s="2">
        <v>1.52</v>
      </c>
      <c r="I25" s="2">
        <f t="shared" si="15"/>
        <v>1.52</v>
      </c>
      <c r="J25" s="3">
        <f t="shared" si="16"/>
        <v>0</v>
      </c>
      <c r="K25" s="3">
        <f t="shared" si="17"/>
        <v>0</v>
      </c>
      <c r="L25" s="4">
        <f t="shared" si="18"/>
        <v>1.52</v>
      </c>
      <c r="M25" s="4">
        <f t="shared" si="19"/>
        <v>950</v>
      </c>
    </row>
    <row r="26" spans="1:13" s="18" customFormat="1" x14ac:dyDescent="0.25">
      <c r="A26" s="1">
        <v>17</v>
      </c>
      <c r="B26" s="16" t="s">
        <v>35</v>
      </c>
      <c r="C26" s="19" t="s">
        <v>41</v>
      </c>
      <c r="D26" s="17" t="s">
        <v>42</v>
      </c>
      <c r="E26" s="2">
        <f>1000/2</f>
        <v>500</v>
      </c>
      <c r="F26" s="2">
        <v>1.4</v>
      </c>
      <c r="G26" s="27">
        <v>1.4</v>
      </c>
      <c r="H26" s="2">
        <v>1.4</v>
      </c>
      <c r="I26" s="2">
        <f t="shared" si="15"/>
        <v>1.4</v>
      </c>
      <c r="J26" s="3">
        <f t="shared" si="16"/>
        <v>0</v>
      </c>
      <c r="K26" s="3">
        <f t="shared" si="17"/>
        <v>0</v>
      </c>
      <c r="L26" s="4">
        <f t="shared" si="18"/>
        <v>1.4</v>
      </c>
      <c r="M26" s="4">
        <f t="shared" si="19"/>
        <v>700</v>
      </c>
    </row>
    <row r="27" spans="1:13" s="18" customFormat="1" ht="31.5" x14ac:dyDescent="0.25">
      <c r="A27" s="1">
        <v>18</v>
      </c>
      <c r="B27" s="16" t="s">
        <v>36</v>
      </c>
      <c r="C27" s="19" t="s">
        <v>72</v>
      </c>
      <c r="D27" s="17" t="s">
        <v>44</v>
      </c>
      <c r="E27" s="2">
        <f>2000/2</f>
        <v>1000</v>
      </c>
      <c r="F27" s="2">
        <v>5.57</v>
      </c>
      <c r="G27" s="27">
        <v>5.57</v>
      </c>
      <c r="H27" s="2">
        <v>5.57</v>
      </c>
      <c r="I27" s="2">
        <f t="shared" si="15"/>
        <v>5.57</v>
      </c>
      <c r="J27" s="3">
        <f t="shared" si="16"/>
        <v>0</v>
      </c>
      <c r="K27" s="3">
        <f t="shared" si="17"/>
        <v>0</v>
      </c>
      <c r="L27" s="4">
        <f t="shared" si="18"/>
        <v>5.57</v>
      </c>
      <c r="M27" s="4">
        <f t="shared" si="19"/>
        <v>5570</v>
      </c>
    </row>
    <row r="28" spans="1:13" s="18" customFormat="1" x14ac:dyDescent="0.25">
      <c r="A28" s="1">
        <v>19</v>
      </c>
      <c r="B28" s="16" t="s">
        <v>37</v>
      </c>
      <c r="C28" s="19" t="s">
        <v>68</v>
      </c>
      <c r="D28" s="17" t="s">
        <v>42</v>
      </c>
      <c r="E28" s="2">
        <f>4000/2</f>
        <v>2000</v>
      </c>
      <c r="F28" s="2">
        <v>6.45</v>
      </c>
      <c r="G28" s="27">
        <v>6.45</v>
      </c>
      <c r="H28" s="2">
        <v>6.45</v>
      </c>
      <c r="I28" s="2">
        <f t="shared" si="15"/>
        <v>6.45</v>
      </c>
      <c r="J28" s="3">
        <f t="shared" si="16"/>
        <v>0</v>
      </c>
      <c r="K28" s="3">
        <f t="shared" si="17"/>
        <v>0</v>
      </c>
      <c r="L28" s="4">
        <f t="shared" si="18"/>
        <v>6.45</v>
      </c>
      <c r="M28" s="4">
        <f t="shared" si="19"/>
        <v>12900</v>
      </c>
    </row>
    <row r="29" spans="1:13" s="18" customFormat="1" ht="47.25" x14ac:dyDescent="0.25">
      <c r="A29" s="1">
        <v>20</v>
      </c>
      <c r="B29" s="16" t="s">
        <v>38</v>
      </c>
      <c r="C29" s="19" t="s">
        <v>69</v>
      </c>
      <c r="D29" s="17" t="s">
        <v>43</v>
      </c>
      <c r="E29" s="2">
        <f>500/2</f>
        <v>250</v>
      </c>
      <c r="F29" s="2">
        <v>171.92</v>
      </c>
      <c r="G29" s="27">
        <v>171.92</v>
      </c>
      <c r="H29" s="2">
        <v>171.92</v>
      </c>
      <c r="I29" s="2">
        <f t="shared" si="15"/>
        <v>171.92</v>
      </c>
      <c r="J29" s="3">
        <f t="shared" si="16"/>
        <v>0</v>
      </c>
      <c r="K29" s="3">
        <f t="shared" si="17"/>
        <v>0</v>
      </c>
      <c r="L29" s="4">
        <f t="shared" si="18"/>
        <v>171.92</v>
      </c>
      <c r="M29" s="4">
        <f t="shared" si="19"/>
        <v>42980</v>
      </c>
    </row>
    <row r="30" spans="1:13" s="18" customFormat="1" x14ac:dyDescent="0.25">
      <c r="A30" s="1">
        <v>21</v>
      </c>
      <c r="B30" s="16" t="s">
        <v>39</v>
      </c>
      <c r="C30" s="19" t="s">
        <v>71</v>
      </c>
      <c r="D30" s="17" t="s">
        <v>44</v>
      </c>
      <c r="E30" s="2">
        <f>2000/2</f>
        <v>1000</v>
      </c>
      <c r="F30" s="2">
        <v>5.4</v>
      </c>
      <c r="G30" s="27">
        <v>5.4</v>
      </c>
      <c r="H30" s="2">
        <v>5.4</v>
      </c>
      <c r="I30" s="2">
        <f t="shared" si="10"/>
        <v>5.4</v>
      </c>
      <c r="J30" s="3">
        <f t="shared" si="11"/>
        <v>0</v>
      </c>
      <c r="K30" s="3">
        <f t="shared" si="12"/>
        <v>0</v>
      </c>
      <c r="L30" s="4">
        <f t="shared" si="13"/>
        <v>5.4</v>
      </c>
      <c r="M30" s="4">
        <f t="shared" si="14"/>
        <v>5400</v>
      </c>
    </row>
    <row r="31" spans="1:13" s="18" customFormat="1" ht="32.25" thickBot="1" x14ac:dyDescent="0.3">
      <c r="A31" s="1">
        <v>22</v>
      </c>
      <c r="B31" s="16" t="s">
        <v>40</v>
      </c>
      <c r="C31" s="16" t="s">
        <v>70</v>
      </c>
      <c r="D31" s="17" t="s">
        <v>44</v>
      </c>
      <c r="E31" s="2">
        <f>200/2</f>
        <v>100</v>
      </c>
      <c r="F31" s="2">
        <v>7.27</v>
      </c>
      <c r="G31" s="27">
        <v>7.27</v>
      </c>
      <c r="H31" s="2">
        <v>7.27</v>
      </c>
      <c r="I31" s="2">
        <f>ROUND(AVERAGE(F31:H31),2)</f>
        <v>7.27</v>
      </c>
      <c r="J31" s="3">
        <f>SQRT(((SUM((POWER(H31-I31,2)),(POWER(G31-I31,2)),(POWER(F31-I31,2)))/(COLUMNS(F31:H31)-1))))</f>
        <v>0</v>
      </c>
      <c r="K31" s="3">
        <f t="shared" ref="K31" si="20">J31/I31*100</f>
        <v>0</v>
      </c>
      <c r="L31" s="4">
        <f>I31</f>
        <v>7.27</v>
      </c>
      <c r="M31" s="4">
        <f>ROUND(L31*E31,2)</f>
        <v>727</v>
      </c>
    </row>
    <row r="32" spans="1:13" s="18" customFormat="1" ht="16.5" thickBot="1" x14ac:dyDescent="0.3">
      <c r="A32" s="31" t="s">
        <v>6</v>
      </c>
      <c r="B32" s="32"/>
      <c r="C32" s="32"/>
      <c r="D32" s="33"/>
      <c r="E32" s="21">
        <f>SUM(E10:E31)</f>
        <v>74981</v>
      </c>
      <c r="F32" s="21"/>
      <c r="G32" s="21"/>
      <c r="H32" s="21"/>
      <c r="I32" s="7" t="s">
        <v>7</v>
      </c>
      <c r="J32" s="8" t="s">
        <v>7</v>
      </c>
      <c r="K32" s="8" t="s">
        <v>7</v>
      </c>
      <c r="L32" s="7" t="s">
        <v>7</v>
      </c>
      <c r="M32" s="22">
        <f>SUM(M10:M31)</f>
        <v>176313.60000000001</v>
      </c>
    </row>
    <row r="33" spans="1:14" s="24" customFormat="1" ht="32.25" customHeight="1" x14ac:dyDescent="0.25">
      <c r="A33" s="28" t="s">
        <v>74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3"/>
    </row>
    <row r="34" spans="1:14" s="14" customFormat="1" ht="20.25" customHeight="1" x14ac:dyDescent="0.25">
      <c r="A34" s="29" t="s">
        <v>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4" s="14" customFormat="1" ht="21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4" x14ac:dyDescent="0.25">
      <c r="A36" s="5"/>
      <c r="B36" s="5"/>
      <c r="C36" s="5"/>
      <c r="D36" s="5"/>
      <c r="E36" s="5"/>
      <c r="F36" s="5"/>
      <c r="G36" s="30"/>
      <c r="H36" s="30"/>
      <c r="I36" s="26"/>
      <c r="J36" s="5"/>
      <c r="K36" s="5"/>
      <c r="L36" s="5"/>
      <c r="M36" s="5"/>
    </row>
    <row r="37" spans="1:14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</sheetData>
  <mergeCells count="21">
    <mergeCell ref="A6:M6"/>
    <mergeCell ref="E8:E9"/>
    <mergeCell ref="A7:M7"/>
    <mergeCell ref="A3:B3"/>
    <mergeCell ref="A5:B5"/>
    <mergeCell ref="A2:M2"/>
    <mergeCell ref="C3:M3"/>
    <mergeCell ref="C4:M4"/>
    <mergeCell ref="C5:M5"/>
    <mergeCell ref="A4:B4"/>
    <mergeCell ref="A33:M33"/>
    <mergeCell ref="A34:M34"/>
    <mergeCell ref="G36:H36"/>
    <mergeCell ref="A32:D32"/>
    <mergeCell ref="A8:A9"/>
    <mergeCell ref="B8:B9"/>
    <mergeCell ref="C8:C9"/>
    <mergeCell ref="D8:D9"/>
    <mergeCell ref="I8:K8"/>
    <mergeCell ref="L8:M8"/>
    <mergeCell ref="F8:H8"/>
  </mergeCells>
  <phoneticPr fontId="1" type="noConversion"/>
  <pageMargins left="0.39370078740157483" right="0.39370078740157483" top="0.39370078740157483" bottom="0.39370078740157483" header="0" footer="0"/>
  <pageSetup paperSize="9" scale="64" fitToHeight="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ЖВ не СЗ</vt:lpstr>
      <vt:lpstr>'ЖВ не СЗ'!Заголовки_для_печати</vt:lpstr>
      <vt:lpstr>'ЖВ не 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2026-07-17T09:00:25Z</dcterms:modified>
</cp:coreProperties>
</file>