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5CE478B1-6DEE-4187-B1EA-30E03DC09B5D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5" i="1" l="1"/>
  <c r="AB12" i="1"/>
  <c r="AA16" i="1"/>
  <c r="AB16" i="1" s="1"/>
  <c r="AA15" i="1"/>
  <c r="AA14" i="1"/>
  <c r="AB14" i="1" s="1"/>
  <c r="AA13" i="1"/>
  <c r="AA12" i="1"/>
  <c r="AC12" i="1"/>
  <c r="AD12" i="1" s="1"/>
  <c r="AE12" i="1" s="1"/>
  <c r="AE17" i="1" s="1"/>
  <c r="AC14" i="1"/>
  <c r="AD14" i="1" s="1"/>
  <c r="AE14" i="1" s="1"/>
  <c r="AC13" i="1"/>
  <c r="AD13" i="1" s="1"/>
  <c r="AE13" i="1" s="1"/>
  <c r="AC16" i="1"/>
  <c r="AD16" i="1" s="1"/>
  <c r="AE16" i="1" s="1"/>
  <c r="AD15" i="1"/>
  <c r="AE15" i="1" s="1"/>
  <c r="AB15" i="1"/>
  <c r="AB13" i="1" l="1"/>
</calcChain>
</file>

<file path=xl/sharedStrings.xml><?xml version="1.0" encoding="utf-8"?>
<sst xmlns="http://schemas.openxmlformats.org/spreadsheetml/2006/main" count="182" uniqueCount="91">
  <si>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</si>
  <si>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</si>
  <si>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</si>
  <si>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</si>
  <si>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</si>
  <si>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</si>
  <si>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</si>
  <si>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</si>
  <si>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</si>
  <si>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</si>
  <si>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</si>
  <si>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</si>
  <si>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</si>
  <si>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</si>
  <si>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</si>
  <si>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</si>
  <si>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</si>
  <si>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</si>
  <si>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</si>
  <si>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</si>
  <si>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</si>
  <si>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</si>
  <si>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</si>
  <si>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</si>
  <si>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</si>
  <si>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</si>
  <si>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</si>
  <si>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</si>
  <si>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</si>
  <si>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</si>
  <si>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</si>
  <si>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</si>
  <si>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</si>
  <si>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</si>
  <si>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</si>
  <si>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</si>
  <si>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</si>
  <si>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</si>
  <si>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</si>
  <si>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</si>
  <si>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</si>
  <si>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</si>
  <si>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</si>
  <si>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</si>
  <si>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</si>
  <si>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</si>
  <si>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</si>
  <si>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</si>
  <si>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</si>
  <si>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</si>
  <si>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</si>
  <si>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</si>
  <si>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Сульфат алюминия технический очищенный (сухой)</t>
  </si>
  <si>
    <t>кг</t>
  </si>
  <si>
    <t>2</t>
  </si>
  <si>
    <t>Праестол 650 ВС</t>
  </si>
  <si>
    <t>3</t>
  </si>
  <si>
    <t xml:space="preserve">Уксусная кислота </t>
  </si>
  <si>
    <t>4</t>
  </si>
  <si>
    <t xml:space="preserve">Гипохлорит натрия марки А </t>
  </si>
  <si>
    <t>5</t>
  </si>
  <si>
    <t xml:space="preserve">Щавелевая кислота </t>
  </si>
  <si>
    <t>Поставщик 1</t>
  </si>
  <si>
    <t>Поставщик 2</t>
  </si>
  <si>
    <t>Поставщик 3</t>
  </si>
  <si>
    <t>Дата подготовки обоснования НМЦК:15.07.2026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</si>
  <si>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</si>
  <si>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</si>
  <si>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</si>
  <si>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</si>
  <si>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</si>
  <si>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</si>
  <si>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</si>
  <si>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20.13.41.132 </t>
  </si>
  <si>
    <t xml:space="preserve">20.41.20.120 </t>
  </si>
  <si>
    <t>20.14.32.121</t>
  </si>
  <si>
    <t>20.13.32.110</t>
  </si>
  <si>
    <t>20.14.33.411</t>
  </si>
  <si>
    <t>л</t>
  </si>
  <si>
    <t>МУП "Теплосети Березово" городского поселения Березово</t>
  </si>
  <si>
    <t>197,00 (13%*, 35.32%**)
Контракт в ЕИС №1780610484022000042</t>
  </si>
  <si>
    <t>131,95 (13%*)
Контракт в ЕИС №1740402737826000014</t>
  </si>
  <si>
    <t>1 305,68 (17%*, 40%**)
Контракт в ЕИС №3331000754824000004</t>
  </si>
  <si>
    <t>1 078,40 (13%*, 40%**)
Контракт в ЕИС №3112100168124000023</t>
  </si>
  <si>
    <t>224,07 
Контракт в ЕИС №1581900366022000093</t>
  </si>
  <si>
    <t>193,20 
Контракт в ЕИС №2631600342522000110</t>
  </si>
  <si>
    <t>70,97 (13%*, 10.92%**)
Контракт в ЕИС №2772334884324000107</t>
  </si>
  <si>
    <t>92,35 (13%*, 23.18%**)
Контракт в ЕИС №2772631792423000029</t>
  </si>
  <si>
    <t>488,00 
Контракт в ЕИС №1526008434723000388</t>
  </si>
  <si>
    <t>356,90
Контракт в ЕИС №2450102626126000129</t>
  </si>
  <si>
    <t>На основании проведенного анализа рынка и расчетов, НМЦК составляет: 9 242 228,00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</si>
</sst>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#########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Alignment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43" fontId="3" fillId="0" borderId="0" xfId="1" applyFont="1" applyFill="1" applyBorder="1"/>
    <xf numFmtId="164" fontId="5" fillId="0" borderId="16" xfId="0" applyNumberFormat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vertical="center" wrapText="1"/>
    </xf>
    <xf numFmtId="165" fontId="3" fillId="0" borderId="0" xfId="0" applyNumberFormat="1" applyFont="1" applyFill="1" applyBorder="1"/>
    <xf numFmtId="0" fontId="1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209550</xdr:colOff>
      <xdr:row>10</xdr:row>
      <xdr:rowOff>9525</xdr:rowOff>
    </xdr:from>
    <xdr:to>
      <xdr:col>30</xdr:col>
      <xdr:colOff>1591310</xdr:colOff>
      <xdr:row>10</xdr:row>
      <xdr:rowOff>537845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0025" y="4600575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95250</xdr:colOff>
      <xdr:row>9</xdr:row>
      <xdr:rowOff>371475</xdr:rowOff>
    </xdr:from>
    <xdr:to>
      <xdr:col>26</xdr:col>
      <xdr:colOff>1162050</xdr:colOff>
      <xdr:row>10</xdr:row>
      <xdr:rowOff>516255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10950" y="4581525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200026</xdr:colOff>
      <xdr:row>10</xdr:row>
      <xdr:rowOff>28574</xdr:rowOff>
    </xdr:from>
    <xdr:to>
      <xdr:col>27</xdr:col>
      <xdr:colOff>1381126</xdr:colOff>
      <xdr:row>10</xdr:row>
      <xdr:rowOff>485139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87326" y="4619624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581900366022000093" TargetMode="External"/><Relationship Id="rId3" Type="http://schemas.openxmlformats.org/officeDocument/2006/relationships/hyperlink" Target="http://zakupki.gov.ru/epz/contract/contractCard/common-info.html?reestrNumber=2772631792423000029" TargetMode="External"/><Relationship Id="rId7" Type="http://schemas.openxmlformats.org/officeDocument/2006/relationships/hyperlink" Target="http://zakupki.gov.ru/epz/contract/contractCard/common-info.html?reestrNumber=3331000754824000004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631600342522000110" TargetMode="External"/><Relationship Id="rId1" Type="http://schemas.openxmlformats.org/officeDocument/2006/relationships/hyperlink" Target="http://zakupki.gov.ru/epz/contract/contractCard/common-info.html?reestrNumber=3112100168124000023" TargetMode="External"/><Relationship Id="rId6" Type="http://schemas.openxmlformats.org/officeDocument/2006/relationships/hyperlink" Target="http://zakupki.gov.ru/epz/contract/contractCard/common-info.html?reestrNumber=1780610484022000042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1740402737826000014" TargetMode="External"/><Relationship Id="rId10" Type="http://schemas.openxmlformats.org/officeDocument/2006/relationships/hyperlink" Target="http://zakupki.gov.ru/epz/contract/contractCard/common-info.html?reestrNumber=1526008434723000388" TargetMode="External"/><Relationship Id="rId4" Type="http://schemas.openxmlformats.org/officeDocument/2006/relationships/hyperlink" Target="https://zakupki.gov.ru/epz/contract/contractCard/common-info.html?reestrNumber=2450102626126000129" TargetMode="External"/><Relationship Id="rId9" Type="http://schemas.openxmlformats.org/officeDocument/2006/relationships/hyperlink" Target="http://zakupki.gov.ru/epz/contract/contractCard/common-info.html?reestrNumber=2772334884324000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G31"/>
  <sheetViews>
    <sheetView tabSelected="1" view="pageBreakPreview" topLeftCell="A10" zoomScaleNormal="100" zoomScaleSheetLayoutView="100" workbookViewId="0">
      <selection activeCell="A18" sqref="A18:AE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8.42578125" style="3" customWidth="1"/>
    <col min="5" max="5" width="13.140625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15.140625" style="13" hidden="1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</row>
    <row r="4" spans="1:33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</row>
    <row r="6" spans="1:33" ht="24.75" customHeight="1" x14ac:dyDescent="0.25">
      <c r="A6" s="36" t="s">
        <v>2</v>
      </c>
      <c r="B6" s="36"/>
      <c r="C6" s="45" t="s">
        <v>68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5"/>
    </row>
    <row r="7" spans="1:33" ht="42" customHeight="1" x14ac:dyDescent="0.25">
      <c r="A7" s="36" t="s">
        <v>66</v>
      </c>
      <c r="B7" s="36"/>
      <c r="C7" s="45" t="s">
        <v>67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6"/>
      <c r="AE7" s="45"/>
    </row>
    <row r="8" spans="1:33" ht="43.5" customHeight="1" x14ac:dyDescent="0.25">
      <c r="A8" s="40" t="s">
        <v>79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3"/>
    </row>
    <row r="9" spans="1:33" ht="125.25" customHeight="1" x14ac:dyDescent="0.25">
      <c r="A9" s="37" t="s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8"/>
      <c r="AE9" s="37"/>
    </row>
    <row r="10" spans="1:33" ht="30" customHeight="1" x14ac:dyDescent="0.25">
      <c r="A10" s="36" t="s">
        <v>4</v>
      </c>
      <c r="B10" s="36" t="s">
        <v>5</v>
      </c>
      <c r="C10" s="36"/>
      <c r="D10" s="39" t="s">
        <v>6</v>
      </c>
      <c r="E10" s="36" t="s">
        <v>7</v>
      </c>
      <c r="F10" s="39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9" t="s">
        <v>69</v>
      </c>
      <c r="AD10" s="26"/>
      <c r="AE10" s="8" t="s">
        <v>28</v>
      </c>
    </row>
    <row r="11" spans="1:33" ht="45" customHeight="1" x14ac:dyDescent="0.25">
      <c r="A11" s="36"/>
      <c r="B11" s="36"/>
      <c r="C11" s="36"/>
      <c r="D11" s="39"/>
      <c r="E11" s="36"/>
      <c r="F11" s="39"/>
      <c r="G11" s="30" t="s">
        <v>29</v>
      </c>
      <c r="H11" s="6" t="s">
        <v>29</v>
      </c>
      <c r="I11" s="30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9"/>
      <c r="AD11" s="27"/>
      <c r="AE11" s="10"/>
    </row>
    <row r="12" spans="1:33" ht="52.5" customHeight="1" x14ac:dyDescent="0.25">
      <c r="A12" s="11" t="s">
        <v>51</v>
      </c>
      <c r="B12" s="36" t="s">
        <v>52</v>
      </c>
      <c r="C12" s="36"/>
      <c r="D12" s="7" t="s">
        <v>73</v>
      </c>
      <c r="E12" s="11" t="s">
        <v>53</v>
      </c>
      <c r="F12" s="12">
        <v>47300</v>
      </c>
      <c r="G12" s="33" t="s">
        <v>81</v>
      </c>
      <c r="H12" s="33" t="s">
        <v>80</v>
      </c>
      <c r="I12" s="27">
        <v>150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24">
        <f>SQRT(VAR(131.95,197,I12))</f>
        <v>33.581505326593074</v>
      </c>
      <c r="AB12" s="24">
        <f>AA12/AC12*100</f>
        <v>21.034453696581942</v>
      </c>
      <c r="AC12" s="24">
        <f>(131.95+197+I12)/3</f>
        <v>159.65</v>
      </c>
      <c r="AD12" s="25">
        <f>ROUND(AC12,2)</f>
        <v>159.65</v>
      </c>
      <c r="AE12" s="6">
        <f>AD12*F12</f>
        <v>7551445</v>
      </c>
      <c r="AF12" s="13"/>
      <c r="AG12" s="13"/>
    </row>
    <row r="13" spans="1:33" ht="52.5" customHeight="1" x14ac:dyDescent="0.25">
      <c r="A13" s="11" t="s">
        <v>54</v>
      </c>
      <c r="B13" s="36" t="s">
        <v>55</v>
      </c>
      <c r="C13" s="36"/>
      <c r="D13" s="7" t="s">
        <v>74</v>
      </c>
      <c r="E13" s="11" t="s">
        <v>53</v>
      </c>
      <c r="F13" s="12">
        <v>400</v>
      </c>
      <c r="G13" s="34" t="s">
        <v>83</v>
      </c>
      <c r="H13" s="33" t="s">
        <v>82</v>
      </c>
      <c r="I13" s="30">
        <v>2000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24">
        <f>SQRT(VAR(1078.4,1305.68,I13))</f>
        <v>480.11856535651708</v>
      </c>
      <c r="AB13" s="24">
        <f>AA13/AC13*100</f>
        <v>32.854229303971444</v>
      </c>
      <c r="AC13" s="24">
        <f>(1078.4+1305.68+I13)/3</f>
        <v>1461.36</v>
      </c>
      <c r="AD13" s="25">
        <f t="shared" ref="AD13:AD16" si="0">ROUND(AC13,2)</f>
        <v>1461.36</v>
      </c>
      <c r="AE13" s="6">
        <f t="shared" ref="AE13:AE15" si="1">AD13*F13</f>
        <v>584544</v>
      </c>
      <c r="AF13" s="13"/>
      <c r="AG13" s="13"/>
    </row>
    <row r="14" spans="1:33" ht="52.5" customHeight="1" x14ac:dyDescent="0.25">
      <c r="A14" s="11" t="s">
        <v>56</v>
      </c>
      <c r="B14" s="36" t="s">
        <v>57</v>
      </c>
      <c r="C14" s="36"/>
      <c r="D14" s="7" t="s">
        <v>75</v>
      </c>
      <c r="E14" s="11" t="s">
        <v>53</v>
      </c>
      <c r="F14" s="12">
        <v>2100</v>
      </c>
      <c r="G14" s="34" t="s">
        <v>85</v>
      </c>
      <c r="H14" s="33" t="s">
        <v>84</v>
      </c>
      <c r="I14" s="30">
        <v>130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24">
        <f>SQRT(VAR(193.2,224.07,I14))</f>
        <v>47.95199300689535</v>
      </c>
      <c r="AB14" s="24">
        <f>AA14/AC14*100</f>
        <v>26.286107226905557</v>
      </c>
      <c r="AC14" s="24">
        <f>(193.2+224.07+I14)/3</f>
        <v>182.42333333333332</v>
      </c>
      <c r="AD14" s="25">
        <f t="shared" si="0"/>
        <v>182.42</v>
      </c>
      <c r="AE14" s="6">
        <f t="shared" si="1"/>
        <v>383082</v>
      </c>
      <c r="AF14" s="13"/>
      <c r="AG14" s="13"/>
    </row>
    <row r="15" spans="1:33" ht="52.5" customHeight="1" x14ac:dyDescent="0.25">
      <c r="A15" s="11" t="s">
        <v>58</v>
      </c>
      <c r="B15" s="36" t="s">
        <v>59</v>
      </c>
      <c r="C15" s="36"/>
      <c r="D15" s="7" t="s">
        <v>76</v>
      </c>
      <c r="E15" s="11" t="s">
        <v>78</v>
      </c>
      <c r="F15" s="12">
        <v>6500</v>
      </c>
      <c r="G15" s="34" t="s">
        <v>87</v>
      </c>
      <c r="H15" s="33" t="s">
        <v>86</v>
      </c>
      <c r="I15" s="30">
        <v>100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24">
        <f>SQRT(VAR(92.35,70.97,I15))</f>
        <v>15.046415963056894</v>
      </c>
      <c r="AB15" s="24">
        <f>AA15/AC15*100</f>
        <v>17.142354507508237</v>
      </c>
      <c r="AC15" s="24">
        <f>(92.35+70.97+I15)/3</f>
        <v>87.773333333333326</v>
      </c>
      <c r="AD15" s="25">
        <f t="shared" si="0"/>
        <v>87.77</v>
      </c>
      <c r="AE15" s="6">
        <f t="shared" si="1"/>
        <v>570505</v>
      </c>
      <c r="AF15" s="13"/>
      <c r="AG15" s="13"/>
    </row>
    <row r="16" spans="1:33" ht="52.5" customHeight="1" x14ac:dyDescent="0.25">
      <c r="A16" s="11" t="s">
        <v>60</v>
      </c>
      <c r="B16" s="36" t="s">
        <v>61</v>
      </c>
      <c r="C16" s="36"/>
      <c r="D16" s="7" t="s">
        <v>77</v>
      </c>
      <c r="E16" s="11" t="s">
        <v>53</v>
      </c>
      <c r="F16" s="12">
        <v>400</v>
      </c>
      <c r="G16" s="35" t="s">
        <v>89</v>
      </c>
      <c r="H16" s="33" t="s">
        <v>88</v>
      </c>
      <c r="I16" s="30">
        <v>300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24">
        <f>SQRT(VAR(356.9,488,I16))</f>
        <v>96.40956038346657</v>
      </c>
      <c r="AB16" s="24">
        <f>AA16/AC16*100</f>
        <v>25.26235314441433</v>
      </c>
      <c r="AC16" s="24">
        <f>(356.9+488+I16)/3</f>
        <v>381.63333333333338</v>
      </c>
      <c r="AD16" s="25">
        <f t="shared" si="0"/>
        <v>381.63</v>
      </c>
      <c r="AE16" s="6">
        <f>AD16*F16</f>
        <v>152652</v>
      </c>
      <c r="AF16" s="13"/>
      <c r="AG16" s="13"/>
    </row>
    <row r="17" spans="1:32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C17" s="11" t="s">
        <v>47</v>
      </c>
      <c r="AD17" s="28"/>
      <c r="AE17" s="6">
        <f>SUM(AE12:AE16)</f>
        <v>9242228</v>
      </c>
      <c r="AF17" s="29"/>
    </row>
    <row r="18" spans="1:32" x14ac:dyDescent="0.25">
      <c r="A18" s="50" t="s">
        <v>90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2"/>
    </row>
    <row r="19" spans="1:32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</row>
    <row r="21" spans="1:32" x14ac:dyDescent="0.25">
      <c r="A21" s="53" t="s">
        <v>65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2" x14ac:dyDescent="0.25">
      <c r="A22" s="54" t="s">
        <v>70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</row>
    <row r="23" spans="1:32" x14ac:dyDescent="0.25">
      <c r="A23" s="54" t="s">
        <v>71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</row>
    <row r="24" spans="1:32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2" ht="15.75" thickBot="1" x14ac:dyDescent="0.3">
      <c r="A25" s="55" t="s">
        <v>48</v>
      </c>
      <c r="B25" s="56"/>
      <c r="C25" s="56"/>
      <c r="D25" s="56"/>
      <c r="E25" s="14"/>
      <c r="G25" s="29"/>
      <c r="I25" s="2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2"/>
      <c r="AB25" s="3"/>
      <c r="AC25" s="3"/>
      <c r="AD25" s="3"/>
    </row>
    <row r="26" spans="1:32" x14ac:dyDescent="0.25">
      <c r="A26" s="57"/>
      <c r="B26" s="58"/>
      <c r="C26" s="58"/>
      <c r="D26" s="58"/>
      <c r="E26" s="15"/>
      <c r="F26" s="16"/>
      <c r="G26" s="2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2"/>
      <c r="AB26" s="3"/>
      <c r="AC26" s="3"/>
      <c r="AD26" s="3"/>
    </row>
    <row r="27" spans="1:32" ht="15.75" thickBot="1" x14ac:dyDescent="0.3">
      <c r="A27" s="59" t="s">
        <v>49</v>
      </c>
      <c r="B27" s="60"/>
      <c r="C27" s="60"/>
      <c r="D27" s="60"/>
      <c r="E27" s="17"/>
      <c r="F27" s="16"/>
      <c r="G27" s="2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2"/>
      <c r="AB27" s="3"/>
      <c r="AC27" s="3"/>
      <c r="AD27" s="3"/>
    </row>
    <row r="28" spans="1:32" x14ac:dyDescent="0.25">
      <c r="A28" s="57" t="s">
        <v>72</v>
      </c>
      <c r="B28" s="58"/>
      <c r="C28" s="58"/>
      <c r="D28" s="58"/>
      <c r="E28" s="18"/>
      <c r="F28" s="16"/>
      <c r="G28" s="2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2"/>
      <c r="AB28" s="3"/>
      <c r="AC28" s="3"/>
      <c r="AD28" s="3"/>
    </row>
    <row r="29" spans="1:32" ht="16.5" thickBot="1" x14ac:dyDescent="0.3">
      <c r="A29" s="47" t="s">
        <v>50</v>
      </c>
      <c r="B29" s="48"/>
      <c r="C29" s="48"/>
      <c r="D29" s="48"/>
      <c r="E29" s="19"/>
      <c r="F29" s="20"/>
      <c r="G29" s="3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2"/>
      <c r="AB29" s="3"/>
      <c r="AC29" s="3"/>
      <c r="AD29" s="3"/>
    </row>
    <row r="30" spans="1:32" ht="15.75" x14ac:dyDescent="0.25">
      <c r="A30" s="22"/>
      <c r="B30" s="22"/>
      <c r="C30" s="22"/>
      <c r="D30" s="22"/>
      <c r="E30" s="22"/>
      <c r="F30" s="20"/>
      <c r="G30" s="3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2"/>
      <c r="AB30" s="3"/>
      <c r="AC30" s="3"/>
      <c r="AD30" s="3"/>
    </row>
    <row r="31" spans="1:32" ht="15.75" x14ac:dyDescent="0.25">
      <c r="A31" s="23" t="s">
        <v>0</v>
      </c>
      <c r="AA31" s="29"/>
    </row>
  </sheetData>
  <mergeCells count="29">
    <mergeCell ref="B13:C13"/>
    <mergeCell ref="B14:C14"/>
    <mergeCell ref="B15:C15"/>
    <mergeCell ref="B16:C16"/>
    <mergeCell ref="A29:D29"/>
    <mergeCell ref="A17:AA17"/>
    <mergeCell ref="A18:AE18"/>
    <mergeCell ref="A21:AE21"/>
    <mergeCell ref="A22:AE22"/>
    <mergeCell ref="A23:AE23"/>
    <mergeCell ref="A25:D25"/>
    <mergeCell ref="A26:D26"/>
    <mergeCell ref="A27:D27"/>
    <mergeCell ref="A28:D28"/>
    <mergeCell ref="A19:AE19"/>
    <mergeCell ref="A8:AE8"/>
    <mergeCell ref="A3:AE3"/>
    <mergeCell ref="A6:B6"/>
    <mergeCell ref="C6:AE6"/>
    <mergeCell ref="A7:B7"/>
    <mergeCell ref="C7:AE7"/>
    <mergeCell ref="B12:C12"/>
    <mergeCell ref="A9:AE9"/>
    <mergeCell ref="A10:A11"/>
    <mergeCell ref="B10:C11"/>
    <mergeCell ref="D10:D11"/>
    <mergeCell ref="E10:E11"/>
    <mergeCell ref="F10:F11"/>
    <mergeCell ref="AC10:AC11"/>
  </mergeCells>
  <hyperlinks>
    <hyperlink ref="G13" r:id="rId1" xr:uid="{00000000-0004-0000-0000-000000000000}"/>
    <hyperlink ref="G14" r:id="rId2" xr:uid="{00000000-0004-0000-0000-000001000000}"/>
    <hyperlink ref="G15" r:id="rId3" xr:uid="{00000000-0004-0000-0000-000002000000}"/>
    <hyperlink ref="G16" r:id="rId4" display="https://zakupki.gov.ru/epz/contract/contractCard/common-info.html?reestrNumber=2450102626126000129" xr:uid="{00000000-0004-0000-0000-000003000000}"/>
    <hyperlink ref="G12" r:id="rId5" xr:uid="{00000000-0004-0000-0000-000004000000}"/>
    <hyperlink ref="H12" r:id="rId6" xr:uid="{00000000-0004-0000-0000-000005000000}"/>
    <hyperlink ref="H13" r:id="rId7" xr:uid="{00000000-0004-0000-0000-000006000000}"/>
    <hyperlink ref="H14" r:id="rId8" xr:uid="{00000000-0004-0000-0000-000007000000}"/>
    <hyperlink ref="H15" r:id="rId9" xr:uid="{00000000-0004-0000-0000-000008000000}"/>
    <hyperlink ref="H16" r:id="rId10" xr:uid="{00000000-0004-0000-0000-000009000000}"/>
  </hyperlinks>
  <pageMargins left="0.39370078740157483" right="0.39370078740157483" top="0.39370078740157483" bottom="0.39370078740157483" header="0" footer="0"/>
  <pageSetup paperSize="9" scale="58" fitToHeight="0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