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96" windowHeight="1116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421+557прРИМ'!$59:$59</definedName>
    <definedName name="_xlnm.Print_Area" localSheetId="0">'Смета по ФСНБ 421+557прРИМ'!$A$1:$L$192</definedName>
  </definedNames>
  <calcPr calcId="145621" iterate="1"/>
</workbook>
</file>

<file path=xl/calcChain.xml><?xml version="1.0" encoding="utf-8"?>
<calcChain xmlns="http://schemas.openxmlformats.org/spreadsheetml/2006/main">
  <c r="H189" i="7" l="1"/>
  <c r="K50" i="7"/>
  <c r="K49" i="7"/>
  <c r="C52" i="7"/>
  <c r="C51" i="7"/>
  <c r="C50" i="7"/>
  <c r="C49" i="7"/>
  <c r="C46" i="7" s="1"/>
  <c r="G182" i="7"/>
  <c r="G181" i="7"/>
  <c r="L180" i="7"/>
  <c r="L179" i="7"/>
  <c r="L176" i="7"/>
  <c r="L175" i="7"/>
  <c r="L173" i="7" s="1"/>
  <c r="L169" i="7"/>
  <c r="L168" i="7"/>
  <c r="L164" i="7"/>
  <c r="L152" i="7"/>
  <c r="L151" i="7"/>
  <c r="L150" i="7"/>
  <c r="L149" i="7"/>
  <c r="L148" i="7"/>
  <c r="L147" i="7"/>
  <c r="L145" i="7" s="1"/>
  <c r="L144" i="7"/>
  <c r="L143" i="7"/>
  <c r="L141" i="7"/>
  <c r="L139" i="7" s="1"/>
  <c r="L138" i="7"/>
  <c r="L133" i="7"/>
  <c r="L132" i="7"/>
  <c r="L131" i="7"/>
  <c r="L126" i="7"/>
  <c r="L125" i="7"/>
  <c r="L121" i="7"/>
  <c r="L120" i="7"/>
  <c r="L119" i="7"/>
  <c r="L118" i="7"/>
  <c r="L117" i="7"/>
  <c r="L116" i="7"/>
  <c r="L114" i="7" s="1"/>
  <c r="L113" i="7"/>
  <c r="L112" i="7"/>
  <c r="L110" i="7"/>
  <c r="L107" i="7"/>
  <c r="L98" i="7"/>
  <c r="L97" i="7"/>
  <c r="L93" i="7"/>
  <c r="AT79" i="7"/>
  <c r="AR79" i="7"/>
  <c r="AO79" i="7"/>
  <c r="BA79" i="7"/>
  <c r="AZ79" i="7"/>
  <c r="AE79" i="7"/>
  <c r="AD79" i="7"/>
  <c r="L78" i="7"/>
  <c r="K79" i="7" s="1"/>
  <c r="J78" i="7"/>
  <c r="E78" i="7"/>
  <c r="G78" i="7"/>
  <c r="D78" i="7"/>
  <c r="C78" i="7"/>
  <c r="B78" i="7"/>
  <c r="AW77" i="7"/>
  <c r="BA77" i="7"/>
  <c r="AZ77" i="7"/>
  <c r="AE77" i="7"/>
  <c r="AD77" i="7"/>
  <c r="G76" i="7"/>
  <c r="E76" i="7"/>
  <c r="G75" i="7"/>
  <c r="E75" i="7"/>
  <c r="BA73" i="7"/>
  <c r="L76" i="7" s="1"/>
  <c r="AZ73" i="7"/>
  <c r="L171" i="7" s="1"/>
  <c r="AE73" i="7"/>
  <c r="AD73" i="7"/>
  <c r="L73" i="7"/>
  <c r="AW73" i="7" s="1"/>
  <c r="I73" i="7"/>
  <c r="H73" i="7"/>
  <c r="E73" i="7"/>
  <c r="G73" i="7"/>
  <c r="D73" i="7"/>
  <c r="C73" i="7"/>
  <c r="B73" i="7"/>
  <c r="G71" i="7"/>
  <c r="E71" i="7"/>
  <c r="D71" i="7"/>
  <c r="C71" i="7"/>
  <c r="B71" i="7"/>
  <c r="G64" i="7"/>
  <c r="L70" i="7"/>
  <c r="J70" i="7"/>
  <c r="E70" i="7"/>
  <c r="G70" i="7" s="1"/>
  <c r="L69" i="7"/>
  <c r="J69" i="7"/>
  <c r="G69" i="7"/>
  <c r="L68" i="7"/>
  <c r="L64" i="7" s="1"/>
  <c r="J68" i="7"/>
  <c r="E68" i="7"/>
  <c r="L67" i="7"/>
  <c r="J67" i="7"/>
  <c r="G67" i="7"/>
  <c r="L66" i="7"/>
  <c r="J66" i="7"/>
  <c r="G66" i="7"/>
  <c r="E66" i="7"/>
  <c r="L65" i="7"/>
  <c r="J65" i="7"/>
  <c r="G65" i="7"/>
  <c r="L62" i="7"/>
  <c r="L61" i="7" s="1"/>
  <c r="AR77" i="7" s="1"/>
  <c r="J62" i="7"/>
  <c r="G62" i="7"/>
  <c r="G61" i="7"/>
  <c r="E60" i="7"/>
  <c r="G60" i="7"/>
  <c r="G68" i="7" s="1"/>
  <c r="D60" i="7"/>
  <c r="C60" i="7"/>
  <c r="A35" i="7"/>
  <c r="A33" i="7"/>
  <c r="A30" i="7"/>
  <c r="F24" i="7"/>
  <c r="F22" i="7"/>
  <c r="CO14" i="7"/>
  <c r="F14" i="7"/>
  <c r="F12" i="7"/>
  <c r="H6" i="7"/>
  <c r="B6" i="7"/>
  <c r="A1" i="7"/>
  <c r="AN79" i="7" l="1"/>
  <c r="AW79" i="7"/>
  <c r="L167" i="7" s="1"/>
  <c r="L165" i="7" s="1"/>
  <c r="J73" i="7"/>
  <c r="L123" i="7"/>
  <c r="L136" i="7"/>
  <c r="L128" i="7" s="1"/>
  <c r="L177" i="7" s="1"/>
  <c r="AN73" i="7"/>
  <c r="L108" i="7"/>
  <c r="L105" i="7" s="1"/>
  <c r="L103" i="7" s="1"/>
  <c r="L172" i="7"/>
  <c r="L101" i="7"/>
  <c r="L100" i="7"/>
  <c r="I79" i="7"/>
  <c r="AT77" i="7"/>
  <c r="L170" i="7" s="1"/>
  <c r="L63" i="7"/>
  <c r="L134" i="7"/>
  <c r="K47" i="7"/>
  <c r="L158" i="7"/>
  <c r="L75" i="7"/>
  <c r="L87" i="7"/>
  <c r="A1" i="4"/>
  <c r="A2" i="4"/>
  <c r="A3" i="4"/>
  <c r="A4" i="4"/>
  <c r="A5" i="4"/>
  <c r="A6" i="4"/>
  <c r="A1" i="3"/>
  <c r="Y1" i="3"/>
  <c r="CV1" i="3" s="1"/>
  <c r="U24" i="1" s="1"/>
  <c r="CY1" i="3"/>
  <c r="CZ1" i="3"/>
  <c r="DA1" i="3"/>
  <c r="DB1" i="3"/>
  <c r="DC1" i="3"/>
  <c r="A2" i="3"/>
  <c r="Y2" i="3"/>
  <c r="CX2" i="3"/>
  <c r="CY2" i="3"/>
  <c r="CZ2" i="3"/>
  <c r="DA2" i="3"/>
  <c r="DB2" i="3"/>
  <c r="DC2" i="3"/>
  <c r="A3" i="3"/>
  <c r="Y3" i="3"/>
  <c r="CY3" i="3"/>
  <c r="CZ3" i="3"/>
  <c r="DB3" i="3" s="1"/>
  <c r="DA3" i="3"/>
  <c r="DC3" i="3"/>
  <c r="A4" i="3"/>
  <c r="Y4" i="3"/>
  <c r="CW4" i="3"/>
  <c r="CX4" i="3"/>
  <c r="CY4" i="3"/>
  <c r="CZ4" i="3"/>
  <c r="DA4" i="3"/>
  <c r="DB4" i="3"/>
  <c r="DC4" i="3"/>
  <c r="A5" i="3"/>
  <c r="Y5" i="3"/>
  <c r="CY5" i="3"/>
  <c r="CZ5" i="3"/>
  <c r="DB5" i="3" s="1"/>
  <c r="DA5" i="3"/>
  <c r="DC5" i="3"/>
  <c r="A6" i="3"/>
  <c r="Y6" i="3"/>
  <c r="CX6" i="3"/>
  <c r="CY6" i="3"/>
  <c r="CZ6" i="3"/>
  <c r="DA6" i="3"/>
  <c r="DB6" i="3"/>
  <c r="DC6" i="3"/>
  <c r="DH6" i="3"/>
  <c r="DI6" i="3"/>
  <c r="D12" i="1"/>
  <c r="C18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G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I24" i="1"/>
  <c r="CU1" i="3" s="1"/>
  <c r="K24" i="1"/>
  <c r="AC24" i="1"/>
  <c r="AE24" i="1"/>
  <c r="AD24" i="1" s="1"/>
  <c r="AB24" i="1" s="1"/>
  <c r="AF24" i="1"/>
  <c r="AG24" i="1"/>
  <c r="CU24" i="1" s="1"/>
  <c r="T24" i="1" s="1"/>
  <c r="AH24" i="1"/>
  <c r="AI24" i="1"/>
  <c r="AJ24" i="1"/>
  <c r="CQ24" i="1"/>
  <c r="CR24" i="1"/>
  <c r="CS24" i="1"/>
  <c r="CT24" i="1"/>
  <c r="CV24" i="1"/>
  <c r="CW24" i="1"/>
  <c r="CX24" i="1"/>
  <c r="W24" i="1" s="1"/>
  <c r="AJ28" i="1" s="1"/>
  <c r="GL24" i="1"/>
  <c r="BZ28" i="1" s="1"/>
  <c r="BZ22" i="1" s="1"/>
  <c r="GO24" i="1"/>
  <c r="CC28" i="1" s="1"/>
  <c r="CC22" i="1" s="1"/>
  <c r="GP24" i="1"/>
  <c r="GV24" i="1"/>
  <c r="HC24" i="1" s="1"/>
  <c r="GX24" i="1" s="1"/>
  <c r="I25" i="1"/>
  <c r="AC25" i="1"/>
  <c r="AB25" i="1" s="1"/>
  <c r="AD25" i="1"/>
  <c r="AE25" i="1"/>
  <c r="AF25" i="1"/>
  <c r="AG25" i="1"/>
  <c r="CU25" i="1" s="1"/>
  <c r="T25" i="1" s="1"/>
  <c r="AH25" i="1"/>
  <c r="CV25" i="1" s="1"/>
  <c r="U25" i="1" s="1"/>
  <c r="AI25" i="1"/>
  <c r="AJ25" i="1"/>
  <c r="CX25" i="1" s="1"/>
  <c r="W25" i="1" s="1"/>
  <c r="CQ25" i="1"/>
  <c r="P25" i="1" s="1"/>
  <c r="CR25" i="1"/>
  <c r="CS25" i="1"/>
  <c r="R25" i="1" s="1"/>
  <c r="CT25" i="1"/>
  <c r="S25" i="1" s="1"/>
  <c r="CW25" i="1"/>
  <c r="V25" i="1" s="1"/>
  <c r="GL25" i="1"/>
  <c r="GO25" i="1"/>
  <c r="GP25" i="1"/>
  <c r="GV25" i="1"/>
  <c r="HC25" i="1" s="1"/>
  <c r="GX25" i="1" s="1"/>
  <c r="W26" i="1"/>
  <c r="AC26" i="1"/>
  <c r="AD26" i="1"/>
  <c r="AE26" i="1"/>
  <c r="AF26" i="1"/>
  <c r="AG26" i="1"/>
  <c r="AH26" i="1"/>
  <c r="CV26" i="1" s="1"/>
  <c r="U26" i="1" s="1"/>
  <c r="AI26" i="1"/>
  <c r="CW26" i="1" s="1"/>
  <c r="V26" i="1" s="1"/>
  <c r="AJ26" i="1"/>
  <c r="CQ26" i="1"/>
  <c r="P26" i="1" s="1"/>
  <c r="CP26" i="1" s="1"/>
  <c r="O26" i="1" s="1"/>
  <c r="GM26" i="1" s="1"/>
  <c r="GN26" i="1" s="1"/>
  <c r="CR26" i="1"/>
  <c r="Q26" i="1" s="1"/>
  <c r="CS26" i="1"/>
  <c r="R26" i="1" s="1"/>
  <c r="CT26" i="1"/>
  <c r="S26" i="1" s="1"/>
  <c r="CU26" i="1"/>
  <c r="T26" i="1" s="1"/>
  <c r="CX26" i="1"/>
  <c r="CY26" i="1"/>
  <c r="X26" i="1" s="1"/>
  <c r="CZ26" i="1"/>
  <c r="Y26" i="1" s="1"/>
  <c r="GL26" i="1"/>
  <c r="GO26" i="1"/>
  <c r="GP26" i="1"/>
  <c r="GV26" i="1"/>
  <c r="HC26" i="1" s="1"/>
  <c r="GX26" i="1" s="1"/>
  <c r="B28" i="1"/>
  <c r="B22" i="1" s="1"/>
  <c r="C28" i="1"/>
  <c r="C22" i="1" s="1"/>
  <c r="D28" i="1"/>
  <c r="D22" i="1" s="1"/>
  <c r="F28" i="1"/>
  <c r="F22" i="1" s="1"/>
  <c r="G28" i="1"/>
  <c r="AH28" i="1"/>
  <c r="U28" i="1" s="1"/>
  <c r="BX28" i="1"/>
  <c r="BX22" i="1" s="1"/>
  <c r="BY28" i="1"/>
  <c r="BY22" i="1" s="1"/>
  <c r="CD28" i="1"/>
  <c r="CK28" i="1"/>
  <c r="CK22" i="1" s="1"/>
  <c r="CL28" i="1"/>
  <c r="BC28" i="1" s="1"/>
  <c r="CM28" i="1"/>
  <c r="BD28" i="1" s="1"/>
  <c r="B58" i="1"/>
  <c r="B18" i="1" s="1"/>
  <c r="C58" i="1"/>
  <c r="D58" i="1"/>
  <c r="D18" i="1" s="1"/>
  <c r="F58" i="1"/>
  <c r="F18" i="1" s="1"/>
  <c r="G58" i="1"/>
  <c r="G18" i="1" s="1"/>
  <c r="F12" i="6"/>
  <c r="G12" i="6"/>
  <c r="L96" i="7" l="1"/>
  <c r="L94" i="7" s="1"/>
  <c r="K77" i="7"/>
  <c r="I77" i="7" s="1"/>
  <c r="L99" i="7"/>
  <c r="L72" i="7"/>
  <c r="AO77" i="7"/>
  <c r="L92" i="7"/>
  <c r="L74" i="7"/>
  <c r="K48" i="7"/>
  <c r="L163" i="7"/>
  <c r="AN77" i="7"/>
  <c r="CY25" i="1"/>
  <c r="X25" i="1" s="1"/>
  <c r="CZ25" i="1"/>
  <c r="Y25" i="1" s="1"/>
  <c r="BC58" i="1"/>
  <c r="F44" i="1"/>
  <c r="AJ22" i="1"/>
  <c r="W28" i="1"/>
  <c r="F50" i="1"/>
  <c r="U22" i="1"/>
  <c r="U58" i="1"/>
  <c r="CJ28" i="1"/>
  <c r="AU28" i="1"/>
  <c r="CD22" i="1"/>
  <c r="BC22" i="1"/>
  <c r="AH22" i="1"/>
  <c r="BD22" i="1"/>
  <c r="BD58" i="1"/>
  <c r="F53" i="1"/>
  <c r="CG28" i="1"/>
  <c r="AQ28" i="1"/>
  <c r="CI28" i="1"/>
  <c r="AG28" i="1"/>
  <c r="CW5" i="3"/>
  <c r="CX5" i="3"/>
  <c r="DI4" i="3"/>
  <c r="DF4" i="3"/>
  <c r="DI2" i="3"/>
  <c r="DJ2" i="3" s="1"/>
  <c r="DF2" i="3"/>
  <c r="AB26" i="1"/>
  <c r="Q25" i="1"/>
  <c r="CP25" i="1" s="1"/>
  <c r="O25" i="1" s="1"/>
  <c r="GM25" i="1" s="1"/>
  <c r="GN25" i="1" s="1"/>
  <c r="CL22" i="1"/>
  <c r="DF6" i="3"/>
  <c r="DJ6" i="3" s="1"/>
  <c r="DG6" i="3"/>
  <c r="DH4" i="3"/>
  <c r="DH2" i="3"/>
  <c r="CW3" i="3"/>
  <c r="V24" i="1" s="1"/>
  <c r="AI28" i="1" s="1"/>
  <c r="CX3" i="3"/>
  <c r="DG4" i="3"/>
  <c r="DJ4" i="3" s="1"/>
  <c r="DG2" i="3"/>
  <c r="CX1" i="3"/>
  <c r="BB28" i="1"/>
  <c r="AT28" i="1"/>
  <c r="AP28" i="1"/>
  <c r="AO28" i="1"/>
  <c r="L161" i="7" l="1"/>
  <c r="L159" i="7" s="1"/>
  <c r="L156" i="7" s="1"/>
  <c r="L90" i="7"/>
  <c r="L88" i="7" s="1"/>
  <c r="L85" i="7" s="1"/>
  <c r="L83" i="7" s="1"/>
  <c r="L154" i="7" s="1"/>
  <c r="BB58" i="1"/>
  <c r="BB22" i="1"/>
  <c r="F41" i="1"/>
  <c r="V28" i="1"/>
  <c r="AI22" i="1"/>
  <c r="DG5" i="3"/>
  <c r="DH5" i="3"/>
  <c r="DF5" i="3"/>
  <c r="DI5" i="3"/>
  <c r="BC18" i="1"/>
  <c r="F74" i="1"/>
  <c r="AP58" i="1"/>
  <c r="AP22" i="1"/>
  <c r="F37" i="1"/>
  <c r="G16" i="2" s="1"/>
  <c r="CG22" i="1"/>
  <c r="AX28" i="1"/>
  <c r="CJ22" i="1"/>
  <c r="BA28" i="1"/>
  <c r="W58" i="1"/>
  <c r="F52" i="1"/>
  <c r="W22" i="1"/>
  <c r="DG3" i="3"/>
  <c r="DH3" i="3"/>
  <c r="DF3" i="3"/>
  <c r="DI3" i="3"/>
  <c r="CI22" i="1"/>
  <c r="AZ28" i="1"/>
  <c r="BD18" i="1"/>
  <c r="F83" i="1"/>
  <c r="AO22" i="1"/>
  <c r="AO58" i="1"/>
  <c r="F32" i="1"/>
  <c r="DF1" i="3"/>
  <c r="DG1" i="3"/>
  <c r="Q24" i="1" s="1"/>
  <c r="AD28" i="1" s="1"/>
  <c r="DI1" i="3"/>
  <c r="DH1" i="3"/>
  <c r="R24" i="1" s="1"/>
  <c r="AE28" i="1" s="1"/>
  <c r="F38" i="1"/>
  <c r="AQ58" i="1"/>
  <c r="AQ22" i="1"/>
  <c r="F47" i="1"/>
  <c r="AU58" i="1"/>
  <c r="AU22" i="1"/>
  <c r="F46" i="1"/>
  <c r="F16" i="2" s="1"/>
  <c r="AT58" i="1"/>
  <c r="AT22" i="1"/>
  <c r="AG22" i="1"/>
  <c r="T28" i="1"/>
  <c r="U18" i="1"/>
  <c r="F80" i="1"/>
  <c r="L184" i="7" l="1"/>
  <c r="L185" i="7" s="1"/>
  <c r="R28" i="1"/>
  <c r="AE22" i="1"/>
  <c r="AX58" i="1"/>
  <c r="F35" i="1"/>
  <c r="AX22" i="1"/>
  <c r="T22" i="1"/>
  <c r="T58" i="1"/>
  <c r="F49" i="1"/>
  <c r="DJ1" i="3"/>
  <c r="S24" i="1"/>
  <c r="F62" i="1"/>
  <c r="AO18" i="1"/>
  <c r="AZ22" i="1"/>
  <c r="F39" i="1"/>
  <c r="AZ58" i="1"/>
  <c r="Q28" i="1"/>
  <c r="AD22" i="1"/>
  <c r="DJ3" i="3"/>
  <c r="BA22" i="1"/>
  <c r="F48" i="1"/>
  <c r="H16" i="2" s="1"/>
  <c r="BA58" i="1"/>
  <c r="DJ5" i="3"/>
  <c r="F76" i="1"/>
  <c r="AT18" i="1"/>
  <c r="AP18" i="1"/>
  <c r="F67" i="1"/>
  <c r="F51" i="1"/>
  <c r="V22" i="1"/>
  <c r="V58" i="1"/>
  <c r="W18" i="1"/>
  <c r="F82" i="1"/>
  <c r="AQ18" i="1"/>
  <c r="F68" i="1"/>
  <c r="AU18" i="1"/>
  <c r="F77" i="1"/>
  <c r="P24" i="1"/>
  <c r="BB18" i="1"/>
  <c r="F71" i="1"/>
  <c r="F69" i="1" l="1"/>
  <c r="AZ18" i="1"/>
  <c r="CY24" i="1"/>
  <c r="X24" i="1" s="1"/>
  <c r="AK28" i="1" s="1"/>
  <c r="CZ24" i="1"/>
  <c r="Y24" i="1" s="1"/>
  <c r="AL28" i="1" s="1"/>
  <c r="AF28" i="1"/>
  <c r="Q22" i="1"/>
  <c r="Q58" i="1"/>
  <c r="F40" i="1"/>
  <c r="T18" i="1"/>
  <c r="F79" i="1"/>
  <c r="F65" i="1"/>
  <c r="AX18" i="1"/>
  <c r="F81" i="1"/>
  <c r="V18" i="1"/>
  <c r="AC28" i="1"/>
  <c r="CP24" i="1"/>
  <c r="O24" i="1" s="1"/>
  <c r="F78" i="1"/>
  <c r="BA18" i="1"/>
  <c r="F42" i="1"/>
  <c r="R22" i="1"/>
  <c r="R58" i="1"/>
  <c r="AB28" i="1" l="1"/>
  <c r="GM24" i="1"/>
  <c r="Y28" i="1"/>
  <c r="AL22" i="1"/>
  <c r="CF28" i="1"/>
  <c r="AC22" i="1"/>
  <c r="CE28" i="1"/>
  <c r="CH28" i="1"/>
  <c r="P28" i="1"/>
  <c r="F70" i="1"/>
  <c r="Q18" i="1"/>
  <c r="AK22" i="1"/>
  <c r="X28" i="1"/>
  <c r="R18" i="1"/>
  <c r="F72" i="1"/>
  <c r="AF22" i="1"/>
  <c r="S28" i="1"/>
  <c r="S58" i="1" l="1"/>
  <c r="F43" i="1"/>
  <c r="J16" i="2" s="1"/>
  <c r="S22" i="1"/>
  <c r="X22" i="1"/>
  <c r="F54" i="1"/>
  <c r="X58" i="1"/>
  <c r="P22" i="1"/>
  <c r="F31" i="1"/>
  <c r="P58" i="1"/>
  <c r="CF22" i="1"/>
  <c r="AW28" i="1"/>
  <c r="AB22" i="1"/>
  <c r="O28" i="1"/>
  <c r="AY28" i="1"/>
  <c r="CH22" i="1"/>
  <c r="AV28" i="1"/>
  <c r="CE22" i="1"/>
  <c r="Y22" i="1"/>
  <c r="F55" i="1"/>
  <c r="Y58" i="1"/>
  <c r="GN24" i="1"/>
  <c r="CB28" i="1" s="1"/>
  <c r="CA28" i="1"/>
  <c r="CB22" i="1" l="1"/>
  <c r="AS28" i="1"/>
  <c r="F30" i="1"/>
  <c r="O58" i="1"/>
  <c r="O22" i="1"/>
  <c r="F61" i="1"/>
  <c r="P18" i="1"/>
  <c r="S18" i="1"/>
  <c r="F73" i="1"/>
  <c r="F85" i="1"/>
  <c r="Y18" i="1"/>
  <c r="AV22" i="1"/>
  <c r="AV58" i="1"/>
  <c r="F33" i="1"/>
  <c r="F34" i="1"/>
  <c r="AW22" i="1"/>
  <c r="AW58" i="1"/>
  <c r="CA22" i="1"/>
  <c r="AR28" i="1"/>
  <c r="AY58" i="1"/>
  <c r="F36" i="1"/>
  <c r="AY22" i="1"/>
  <c r="X18" i="1"/>
  <c r="F84" i="1"/>
  <c r="AW18" i="1" l="1"/>
  <c r="F64" i="1"/>
  <c r="AV18" i="1"/>
  <c r="F63" i="1"/>
  <c r="AY18" i="1"/>
  <c r="F66" i="1"/>
  <c r="O18" i="1"/>
  <c r="F60" i="1"/>
  <c r="AR22" i="1"/>
  <c r="F56" i="1"/>
  <c r="AR58" i="1"/>
  <c r="AS22" i="1"/>
  <c r="F45" i="1"/>
  <c r="E16" i="2" s="1"/>
  <c r="I16" i="2" s="1"/>
  <c r="N16" i="2" s="1"/>
  <c r="AS58" i="1"/>
  <c r="AR18" i="1" l="1"/>
  <c r="F86" i="1"/>
  <c r="F75" i="1"/>
  <c r="AS18" i="1"/>
  <c r="F87" i="1" l="1"/>
  <c r="F88" i="1" s="1"/>
</calcChain>
</file>

<file path=xl/sharedStrings.xml><?xml version="1.0" encoding="utf-8"?>
<sst xmlns="http://schemas.openxmlformats.org/spreadsheetml/2006/main" count="1035" uniqueCount="294">
  <si>
    <t>Smeta.RU  (495) 974-1589</t>
  </si>
  <si>
    <t>_PS_</t>
  </si>
  <si>
    <t>Smeta.RU</t>
  </si>
  <si>
    <t/>
  </si>
  <si>
    <t>Новый объект</t>
  </si>
  <si>
    <t>Текущий ремонт межпанельных швов на 1 мп</t>
  </si>
  <si>
    <t>Сметные нормы списания</t>
  </si>
  <si>
    <t>Коды ценников</t>
  </si>
  <si>
    <t>ФСНБ-2022_И13</t>
  </si>
  <si>
    <t>Версия 1.12.0 для ФСНБ-2022 И13</t>
  </si>
  <si>
    <t>ФСНБ-2022 - Изменения И13</t>
  </si>
  <si>
    <t>Поправки для ФСНБ-2022 от 20.02.2025 г И13 (55/пр) Строительство</t>
  </si>
  <si>
    <t>Приказ Минстроя России от 30.12.2021 г. № 1046/пр</t>
  </si>
  <si>
    <t>ГСН</t>
  </si>
  <si>
    <t>Новая локальная смета</t>
  </si>
  <si>
    <t>1</t>
  </si>
  <si>
    <t>53-01-020-06</t>
  </si>
  <si>
    <t>Ремонт и восстановление герметизации горизонтальных и вертикальных стыков стеновых панелей мастикой: вулканизирующейся тиоколовой или монтажной пеной</t>
  </si>
  <si>
    <t>100 м</t>
  </si>
  <si>
    <t>ГЭСНр-2022 доп.13, 53-01-020-06, приказ Минстроя России от 07.02.2025 г. № 69/пр</t>
  </si>
  <si>
    <t>Ремонтно-строительные работы</t>
  </si>
  <si>
    <t>Стены</t>
  </si>
  <si>
    <t>рФЕР-53</t>
  </si>
  <si>
    <t>Пр/812-087.0-1</t>
  </si>
  <si>
    <t>Пр/774-087.0</t>
  </si>
  <si>
    <t>1,1</t>
  </si>
  <si>
    <t>14.5.04.07-0013</t>
  </si>
  <si>
    <t>Мастика тиоколовая двухкомпонентная строительного назначения, полисульфидная отверждающаяся</t>
  </si>
  <si>
    <t>кг</t>
  </si>
  <si>
    <t>ФСБЦ-2022, 14.5.04.07-0013, приказ Минстроя России от 18.05.2022 г. № 378/пр</t>
  </si>
  <si>
    <t>2</t>
  </si>
  <si>
    <t>14.5.01.05-0011</t>
  </si>
  <si>
    <t>Герметик пенополиуретановый (пена монтажная) универсальный, объем 850 мл</t>
  </si>
  <si>
    <t>ШТ</t>
  </si>
  <si>
    <t>ФСБЦ-2022, 14.5.01.05-0011,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</si>
  <si>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</si>
  <si>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</si>
  <si>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</si>
  <si>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</si>
  <si>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</si>
  <si>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</si>
  <si>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</si>
  <si>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</si>
  <si>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</si>
  <si>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</si>
  <si>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</si>
  <si>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</si>
  <si>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</si>
  <si>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</si>
  <si>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</si>
  <si>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</si>
  <si>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</si>
  <si>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</si>
  <si>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</si>
  <si>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</si>
  <si>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</si>
  <si>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</si>
  <si>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</si>
  <si>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</si>
  <si>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</si>
  <si>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</si>
  <si>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</si>
  <si>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</si>
  <si>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</si>
  <si>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</si>
  <si>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</si>
  <si>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</si>
  <si>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</si>
  <si>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</si>
  <si>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</si>
  <si>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</si>
  <si>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</si>
  <si>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</si>
  <si>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</si>
  <si>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</si>
  <si>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</si>
  <si>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</si>
  <si>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</si>
  <si>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</si>
  <si>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</si>
  <si>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</si>
  <si>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</si>
  <si>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</si>
  <si>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</si>
  <si>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</si>
  <si>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</si>
  <si>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</si>
  <si>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</si>
  <si>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</si>
  <si>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</si>
  <si>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</si>
  <si>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</si>
  <si>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НДС</t>
  </si>
  <si>
    <t>НДС 22%</t>
  </si>
  <si>
    <t>ИТ</t>
  </si>
  <si>
    <t>Итого с НДС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</si>
  <si>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</si>
  <si>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</si>
  <si>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</si>
  <si>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</si>
  <si>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</si>
  <si>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</si>
  <si>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</si>
  <si>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</si>
  <si>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</si>
  <si>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</si>
  <si>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</si>
  <si>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</si>
  <si>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</si>
  <si>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</si>
  <si>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</si>
  <si>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</si>
  <si>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</si>
  <si>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</si>
  <si>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</si>
  <si>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</si>
  <si>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</si>
  <si>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</si>
  <si>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</si>
  <si>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</si>
  <si>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</si>
  <si>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</si>
  <si>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</si>
  <si>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</si>
  <si>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</si>
  <si>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</si>
  <si>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</si>
  <si>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</si>
  <si>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</si>
  <si>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</si>
  <si>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</si>
  <si>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</si>
  <si>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</si>
  <si>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</si>
  <si>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</si>
  <si>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</si>
  <si>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</si>
  <si>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</si>
  <si>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</si>
  <si>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</si>
  <si>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</si>
  <si>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</si>
  <si>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</si>
  <si>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</si>
  <si>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</si>
  <si>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</si>
  <si>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</si>
  <si>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</si>
  <si>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</si>
  <si>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</si>
  <si>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</si>
  <si>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</si>
  <si>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</si>
  <si>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</si>
  <si>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</si>
  <si>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</si>
  <si>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</si>
  <si>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</si>
  <si>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</si>
  <si>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</si>
  <si>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</si>
  <si>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</si>
  <si>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</si>
  <si>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</si>
  <si>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Московская область, КТЦ к ФСНБ-2022, 1 квартал 2026 г</t>
  </si>
  <si>
    <t>Сборник индексов</t>
  </si>
  <si>
    <t>Московская область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</si>
  <si>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</si>
  <si>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</si>
  <si>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</si>
  <si>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Распоряжение Министерства экономики и финансов Московской области</t>
  </si>
  <si>
    <t>Распоряжение Министерства экономики и финансов Московской области от 04.03.2025 г. № 24РВ-20</t>
  </si>
  <si>
    <t>_OBSM_</t>
  </si>
  <si>
    <t>1-100-41</t>
  </si>
  <si>
    <t>Средний разряд работы 4,1</t>
  </si>
  <si>
    <t>чел.-ч.</t>
  </si>
  <si>
    <t>4-100-00</t>
  </si>
  <si>
    <t>Затраты труда машинистов</t>
  </si>
  <si>
    <t>91.06.06-015</t>
  </si>
  <si>
    <t>ФСЭМ-2022, 91.06.06-015, приказ Минстроя России от 18.05.2022 г. № 378/пр</t>
  </si>
  <si>
    <t>Автогидроподъемники, высота подъема 37 м</t>
  </si>
  <si>
    <t>маш.-ч</t>
  </si>
  <si>
    <t>4-100-080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</si>
  <si>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</si>
  <si>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</si>
  <si>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</si>
  <si>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</si>
  <si>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91.18.01-007</t>
  </si>
  <si>
    <t>ФСЭМ-2022 доп.13, 91.18.01-007, приказ Минстроя России от 07.02.2025 г. № 69/пр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</si>
  <si>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</si>
  <si>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14.5.04.07</t>
  </si>
  <si>
    <t>Мастика тиоколовая</t>
  </si>
  <si>
    <t>Приказ Минстроя России от 18.05.2022 г. № 378/пр, Приказ Минстроя России от 26.08.2022 г. № 703/пр,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</si>
  <si>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</si>
  <si>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</si>
  <si>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</si>
  <si>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</si>
  <si>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</si>
  <si>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</si>
  <si>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</si>
  <si>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</si>
  <si>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</si>
  <si>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</si>
  <si>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</si>
  <si>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</si>
  <si>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</si>
  <si>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</si>
  <si>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</si>
  <si>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</si>
  <si>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</si>
  <si>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</si>
  <si>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</si>
  <si>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</si>
  <si>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</si>
  <si>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</si>
  <si>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</si>
  <si>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</si>
  <si>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</si>
  <si>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</si>
  <si>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</si>
  <si>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</si>
  <si>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</si>
  <si>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</si>
  <si>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</si>
  <si>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</si>
  <si>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</si>
  <si>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</si>
  <si>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</si>
  <si>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</si>
  <si>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</si>
  <si>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</si>
  <si>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</si>
  <si>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</si>
  <si>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</si>
  <si>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</si>
  <si>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</si>
  <si>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</si>
  <si>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</si>
  <si>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март 2026 года</t>
  </si>
  <si>
    <t>ГЭСНр 53-01-020-06</t>
  </si>
  <si>
    <t>ОТ (ЗТ)</t>
  </si>
  <si>
    <t>ЭМ</t>
  </si>
  <si>
    <t>ОТм(ЗТм) Средний разряд машинистов 8</t>
  </si>
  <si>
    <t>ОТм(ЗТм) Средний разряд машинистов 4</t>
  </si>
  <si>
    <t>ОТм(ЗТм)</t>
  </si>
  <si>
    <t>Итого прямые затраты</t>
  </si>
  <si>
    <t>1.1</t>
  </si>
  <si>
    <t>ФОТ</t>
  </si>
  <si>
    <t>НР Стены</t>
  </si>
  <si>
    <t>%</t>
  </si>
  <si>
    <t>СП Стены</t>
  </si>
  <si>
    <t>Всего по позиции</t>
  </si>
  <si>
    <t>=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</si>
  <si>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</si>
  <si>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</si>
  <si>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</si>
  <si>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</si>
  <si>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</si>
  <si>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</si>
  <si>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</si>
  <si>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</si>
  <si>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</si>
  <si>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</si>
  <si>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</si>
  <si>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</si>
  <si>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</si>
  <si>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</si>
  <si>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</si>
  <si>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</si>
  <si>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</si>
  <si>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</si>
  <si>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</si>
  <si>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</si>
  <si>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</si>
  <si>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</si>
  <si>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</si>
  <si>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</si>
  <si>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</si>
  <si>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</si>
  <si>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</si>
  <si>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</si>
  <si>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</si>
  <si>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</si>
  <si>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</si>
  <si>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</si>
  <si>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</si>
  <si>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</si>
  <si>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</si>
  <si>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</si>
  <si>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</si>
  <si>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</si>
  <si>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</si>
  <si>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>Ведущий инженер</t>
  </si>
  <si>
    <t>С.А.Пашковская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</si>
</sst>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000"/>
    <numFmt numFmtId="166" formatCode="#,##0.00;[Red]\-\ #,##0.00"/>
    <numFmt numFmtId="167" formatCode="#,##0.00#####;[Red]\-\ #,##0.00#####"/>
  </numFmts>
  <fonts count="26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6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5" fillId="0" borderId="0" xfId="0" applyNumberFormat="1" applyFont="1" applyAlignment="1">
      <alignment horizontal="center" wrapText="1"/>
    </xf>
    <xf numFmtId="0" fontId="15" fillId="0" borderId="1" xfId="0" applyNumberFormat="1" applyFont="1" applyBorder="1" applyAlignment="1">
      <alignment horizontal="center" wrapText="1"/>
    </xf>
    <xf numFmtId="0" fontId="18" fillId="0" borderId="2" xfId="0" applyNumberFormat="1" applyFont="1" applyBorder="1" applyAlignment="1">
      <alignment horizontal="center" vertical="top" wrapText="1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1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5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6" fontId="21" fillId="0" borderId="0" xfId="0" applyNumberFormat="1" applyFont="1" applyAlignment="1">
      <alignment horizontal="right" vertical="top"/>
    </xf>
    <xf numFmtId="167" fontId="21" fillId="0" borderId="0" xfId="0" applyNumberFormat="1" applyFont="1" applyAlignment="1">
      <alignment horizontal="right" vertical="top"/>
    </xf>
    <xf numFmtId="166" fontId="23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6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166" fontId="0" fillId="0" borderId="0" xfId="0" applyNumberFormat="1"/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166" fontId="23" fillId="0" borderId="0" xfId="0" applyNumberFormat="1" applyFont="1" applyAlignment="1">
      <alignment horizontal="left" vertical="top"/>
    </xf>
    <xf numFmtId="166" fontId="23" fillId="0" borderId="2" xfId="0" applyNumberFormat="1" applyFont="1" applyBorder="1" applyAlignment="1">
      <alignment horizontal="right" vertical="top"/>
    </xf>
    <xf numFmtId="0" fontId="21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/>
    </xf>
    <xf numFmtId="0" fontId="2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166" fontId="11" fillId="0" borderId="0" xfId="0" applyNumberFormat="1" applyFont="1" applyAlignment="1"/>
    <xf numFmtId="167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24" fillId="0" borderId="2" xfId="0" applyNumberFormat="1" applyFont="1" applyBorder="1" applyAlignment="1">
      <alignment horizont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 wrapText="1"/>
    </xf>
    <xf numFmtId="167" fontId="25" fillId="0" borderId="0" xfId="0" applyNumberFormat="1" applyFont="1" applyAlignment="1">
      <alignment horizontal="right" vertical="top"/>
    </xf>
    <xf numFmtId="0" fontId="25" fillId="0" borderId="0" xfId="0" applyFont="1"/>
    <xf numFmtId="166" fontId="25" fillId="0" borderId="0" xfId="0" applyNumberFormat="1" applyFont="1" applyAlignment="1">
      <alignment vertical="top"/>
    </xf>
    <xf numFmtId="2" fontId="25" fillId="0" borderId="0" xfId="0" applyNumberFormat="1" applyFont="1" applyAlignment="1">
      <alignment vertical="top"/>
    </xf>
    <xf numFmtId="0" fontId="1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91"/>
  <sheetViews>
    <sheetView tabSelected="1" topLeftCell="A153" zoomScaleNormal="100" workbookViewId="0">
      <selection activeCell="G194" sqref="G194"/>
    </sheetView>
  </sheetViews>
  <sheetFormatPr defaultRowHeight="13.2" x14ac:dyDescent="0.25"/>
  <cols>
    <col min="1" max="1" width="5.77734375" customWidth="1"/>
    <col min="2" max="2" width="20.77734375" customWidth="1"/>
    <col min="3" max="3" width="40.77734375" customWidth="1"/>
    <col min="4" max="4" width="10.77734375" customWidth="1"/>
    <col min="5" max="12" width="15.77734375" customWidth="1"/>
    <col min="15" max="92" width="0" hidden="1" customWidth="1"/>
    <col min="93" max="93" width="108.77734375" hidden="1" customWidth="1"/>
    <col min="94" max="101" width="0" hidden="1" customWidth="1"/>
  </cols>
  <sheetData>
    <row r="1" spans="1:93" x14ac:dyDescent="0.25">
      <c r="A1" s="13" t="str">
        <f>Source!B1</f>
        <v>Smeta.RU  (495) 974-1589</v>
      </c>
    </row>
    <row r="2" spans="1:93" ht="13.2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93" ht="16.8" customHeight="1" x14ac:dyDescent="0.3">
      <c r="A3" s="15"/>
      <c r="B3" s="16" t="s">
        <v>193</v>
      </c>
      <c r="C3" s="16"/>
      <c r="D3" s="16"/>
      <c r="E3" s="16"/>
      <c r="F3" s="17"/>
      <c r="G3" s="17"/>
      <c r="H3" s="16" t="s">
        <v>194</v>
      </c>
      <c r="I3" s="16"/>
      <c r="J3" s="16"/>
      <c r="K3" s="16"/>
      <c r="L3" s="16"/>
    </row>
    <row r="4" spans="1:93" ht="13.8" customHeight="1" x14ac:dyDescent="0.25">
      <c r="A4" s="17"/>
      <c r="B4" s="18"/>
      <c r="C4" s="18"/>
      <c r="D4" s="18"/>
      <c r="E4" s="18"/>
      <c r="F4" s="17"/>
      <c r="G4" s="17"/>
      <c r="H4" s="18"/>
      <c r="I4" s="18"/>
      <c r="J4" s="18"/>
      <c r="K4" s="18"/>
      <c r="L4" s="18"/>
    </row>
    <row r="5" spans="1:93" ht="13.8" customHeight="1" x14ac:dyDescent="0.25">
      <c r="A5" s="17"/>
      <c r="B5" s="17"/>
      <c r="C5" s="19"/>
      <c r="D5" s="19"/>
      <c r="E5" s="19"/>
      <c r="F5" s="17"/>
      <c r="G5" s="17"/>
      <c r="H5" s="19"/>
      <c r="I5" s="19"/>
      <c r="J5" s="19"/>
      <c r="K5" s="19"/>
      <c r="L5" s="19"/>
    </row>
    <row r="6" spans="1:93" ht="13.8" customHeight="1" x14ac:dyDescent="0.25">
      <c r="A6" s="19"/>
      <c r="B6" s="18" t="str">
        <f>CONCATENATE("______________________ ", IF(Source!AL12&lt;&gt;"", Source!AL12, ""))</f>
        <v xml:space="preserve">______________________ </v>
      </c>
      <c r="C6" s="18"/>
      <c r="D6" s="18"/>
      <c r="E6" s="18"/>
      <c r="F6" s="17"/>
      <c r="G6" s="17"/>
      <c r="H6" s="18" t="str">
        <f>CONCATENATE("______________________ ", IF(Source!AH12&lt;&gt;"", Source!AH12, ""))</f>
        <v xml:space="preserve">______________________ </v>
      </c>
      <c r="I6" s="18"/>
      <c r="J6" s="18"/>
      <c r="K6" s="18"/>
      <c r="L6" s="18"/>
    </row>
    <row r="7" spans="1:93" ht="14.25" customHeight="1" x14ac:dyDescent="0.25">
      <c r="A7" s="20"/>
      <c r="B7" s="21" t="s">
        <v>195</v>
      </c>
      <c r="C7" s="21"/>
      <c r="D7" s="21"/>
      <c r="E7" s="21"/>
      <c r="F7" s="17"/>
      <c r="G7" s="17"/>
      <c r="H7" s="21" t="s">
        <v>195</v>
      </c>
      <c r="I7" s="21"/>
      <c r="J7" s="21"/>
      <c r="K7" s="21"/>
      <c r="L7" s="21"/>
    </row>
    <row r="10" spans="1:93" ht="12.75" customHeight="1" x14ac:dyDescent="0.25">
      <c r="A10" s="22" t="s">
        <v>196</v>
      </c>
      <c r="B10" s="22"/>
      <c r="C10" s="22"/>
      <c r="D10" s="22"/>
      <c r="E10" s="22"/>
      <c r="F10" s="23" t="s">
        <v>235</v>
      </c>
      <c r="G10" s="23"/>
      <c r="H10" s="23"/>
      <c r="I10" s="23"/>
      <c r="J10" s="23"/>
      <c r="K10" s="23"/>
      <c r="L10" s="23"/>
    </row>
    <row r="11" spans="1:93" ht="13.2" customHeight="1" x14ac:dyDescent="0.25">
      <c r="A11" s="25"/>
      <c r="B11" s="25"/>
      <c r="C11" s="25"/>
      <c r="D11" s="25"/>
      <c r="E11" s="25"/>
      <c r="F11" s="26"/>
      <c r="G11" s="26"/>
      <c r="H11" s="26"/>
      <c r="I11" s="26"/>
      <c r="J11" s="26"/>
      <c r="K11" s="26"/>
      <c r="L11" s="26"/>
    </row>
    <row r="12" spans="1:93" ht="12.75" customHeight="1" x14ac:dyDescent="0.25">
      <c r="A12" s="22" t="s">
        <v>197</v>
      </c>
      <c r="B12" s="22"/>
      <c r="C12" s="22"/>
      <c r="D12" s="22"/>
      <c r="E12" s="22"/>
      <c r="F12" s="23" t="str">
        <f>IF(Source!CQ12 &lt;&gt; "", Source!CQ12, "")</f>
        <v>Приказ Минстроя России от 30.12.2021 г. № 1046/пр</v>
      </c>
      <c r="G12" s="23"/>
      <c r="H12" s="23"/>
      <c r="I12" s="23"/>
      <c r="J12" s="23"/>
      <c r="K12" s="23"/>
      <c r="L12" s="23"/>
    </row>
    <row r="13" spans="1:93" ht="13.2" customHeight="1" x14ac:dyDescent="0.25">
      <c r="A13" s="25"/>
      <c r="B13" s="25"/>
      <c r="C13" s="25"/>
      <c r="D13" s="25"/>
      <c r="E13" s="25"/>
      <c r="F13" s="26"/>
      <c r="G13" s="26"/>
      <c r="H13" s="26"/>
      <c r="I13" s="26"/>
      <c r="J13" s="26"/>
      <c r="K13" s="26"/>
      <c r="L13" s="26"/>
    </row>
    <row r="14" spans="1:93" ht="79.2" x14ac:dyDescent="0.25">
      <c r="A14" s="22" t="s">
        <v>198</v>
      </c>
      <c r="B14" s="22"/>
      <c r="C14" s="22"/>
      <c r="D14" s="22"/>
      <c r="E14" s="22"/>
      <c r="F14" s="23" t="str">
        <f>IF(Source!CV12 &lt;&gt; "", Source!CV12, "")</f>
        <v>Приказ Минстроя России от 18.05.2022 г. № 378/пр, Приказ Минстроя России от 26.08.2022 г. № 703/пр,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</v>
      </c>
      <c r="G14" s="23"/>
      <c r="H14" s="23"/>
      <c r="I14" s="23"/>
      <c r="J14" s="23"/>
      <c r="K14" s="23"/>
      <c r="L14" s="23"/>
      <c r="CO14" s="66" t="str">
        <f>IF(Source!CV12 &lt;&gt; "", Source!CV12, "")</f>
        <v>Приказ Минстроя России от 18.05.2022 г. № 378/пр, Приказ Минстроя России от 26.08.2022 г. № 703/пр,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</v>
      </c>
    </row>
    <row r="15" spans="1:93" ht="13.2" customHeight="1" x14ac:dyDescent="0.25">
      <c r="A15" s="25"/>
      <c r="B15" s="25"/>
      <c r="C15" s="25"/>
      <c r="D15" s="25"/>
      <c r="E15" s="25"/>
      <c r="F15" s="26"/>
      <c r="G15" s="26"/>
      <c r="H15" s="26"/>
      <c r="I15" s="26"/>
      <c r="J15" s="26"/>
      <c r="K15" s="26"/>
      <c r="L15" s="26"/>
    </row>
    <row r="16" spans="1:93" ht="76.5" customHeight="1" x14ac:dyDescent="0.25">
      <c r="A16" s="22" t="s">
        <v>199</v>
      </c>
      <c r="B16" s="22"/>
      <c r="C16" s="22"/>
      <c r="D16" s="22"/>
      <c r="E16" s="22"/>
      <c r="F16" s="23" t="s">
        <v>169</v>
      </c>
      <c r="G16" s="23"/>
      <c r="H16" s="23"/>
      <c r="I16" s="23"/>
      <c r="J16" s="23"/>
      <c r="K16" s="23"/>
      <c r="L16" s="23"/>
    </row>
    <row r="17" spans="1:12" ht="13.2" customHeight="1" x14ac:dyDescent="0.25">
      <c r="A17" s="25"/>
      <c r="B17" s="25"/>
      <c r="C17" s="25"/>
      <c r="D17" s="25"/>
      <c r="E17" s="25"/>
      <c r="F17" s="26"/>
      <c r="G17" s="26"/>
      <c r="H17" s="26"/>
      <c r="I17" s="26"/>
      <c r="J17" s="26"/>
      <c r="K17" s="26"/>
      <c r="L17" s="26"/>
    </row>
    <row r="18" spans="1:12" ht="38.25" customHeight="1" x14ac:dyDescent="0.25">
      <c r="A18" s="22" t="s">
        <v>200</v>
      </c>
      <c r="B18" s="22"/>
      <c r="C18" s="22"/>
      <c r="D18" s="22"/>
      <c r="E18" s="22"/>
      <c r="F18" s="23" t="s">
        <v>171</v>
      </c>
      <c r="G18" s="23"/>
      <c r="H18" s="23"/>
      <c r="I18" s="23"/>
      <c r="J18" s="23"/>
      <c r="K18" s="23"/>
      <c r="L18" s="23"/>
    </row>
    <row r="19" spans="1:12" ht="13.2" customHeight="1" x14ac:dyDescent="0.25">
      <c r="A19" s="27"/>
      <c r="B19" s="27"/>
      <c r="C19" s="27"/>
      <c r="D19" s="27"/>
      <c r="E19" s="27"/>
      <c r="F19" s="28"/>
      <c r="G19" s="28"/>
      <c r="H19" s="28"/>
      <c r="I19" s="28"/>
      <c r="J19" s="28"/>
      <c r="K19" s="28"/>
      <c r="L19" s="28"/>
    </row>
    <row r="20" spans="1:12" ht="13.2" customHeight="1" x14ac:dyDescent="0.25">
      <c r="A20" s="22" t="s">
        <v>201</v>
      </c>
      <c r="B20" s="22"/>
      <c r="C20" s="22"/>
      <c r="D20" s="22"/>
      <c r="E20" s="22"/>
      <c r="F20" s="23" t="s">
        <v>236</v>
      </c>
      <c r="G20" s="23"/>
      <c r="H20" s="23"/>
      <c r="I20" s="23"/>
      <c r="J20" s="23"/>
      <c r="K20" s="23"/>
      <c r="L20" s="23"/>
    </row>
    <row r="21" spans="1:12" ht="12.75" customHeight="1" x14ac:dyDescent="0.25">
      <c r="A21" s="27"/>
      <c r="B21" s="27"/>
      <c r="C21" s="27"/>
      <c r="D21" s="27"/>
      <c r="E21" s="27"/>
      <c r="F21" s="28"/>
      <c r="G21" s="28"/>
      <c r="H21" s="28"/>
      <c r="I21" s="28"/>
      <c r="J21" s="28"/>
      <c r="K21" s="28"/>
      <c r="L21" s="28"/>
    </row>
    <row r="22" spans="1:12" ht="12.75" customHeight="1" x14ac:dyDescent="0.25">
      <c r="A22" s="22" t="s">
        <v>202</v>
      </c>
      <c r="B22" s="22"/>
      <c r="C22" s="22"/>
      <c r="D22" s="22"/>
      <c r="E22" s="22"/>
      <c r="F22" s="23" t="str">
        <f>IF(Source!CZ12 &lt;&gt; "", Source!CZ12, "")</f>
        <v/>
      </c>
      <c r="G22" s="23"/>
      <c r="H22" s="23"/>
      <c r="I22" s="23"/>
      <c r="J22" s="23"/>
      <c r="K22" s="23"/>
      <c r="L22" s="23"/>
    </row>
    <row r="23" spans="1:12" ht="12.75" customHeight="1" x14ac:dyDescent="0.25">
      <c r="A23" s="27"/>
      <c r="B23" s="27"/>
      <c r="C23" s="27"/>
      <c r="D23" s="27"/>
      <c r="E23" s="27"/>
      <c r="F23" s="28"/>
      <c r="G23" s="28"/>
      <c r="H23" s="28"/>
      <c r="I23" s="28"/>
      <c r="J23" s="28"/>
      <c r="K23" s="28"/>
      <c r="L23" s="26"/>
    </row>
    <row r="24" spans="1:12" ht="12.75" customHeight="1" x14ac:dyDescent="0.25">
      <c r="A24" s="22" t="s">
        <v>203</v>
      </c>
      <c r="B24" s="22"/>
      <c r="C24" s="22"/>
      <c r="D24" s="22"/>
      <c r="E24" s="22"/>
      <c r="F24" s="23" t="str">
        <f>IF(Source!DA12 &lt;&gt; "", Source!DA12, "")</f>
        <v/>
      </c>
      <c r="G24" s="23"/>
      <c r="H24" s="23"/>
      <c r="I24" s="23"/>
      <c r="J24" s="23"/>
      <c r="K24" s="23"/>
      <c r="L24" s="23"/>
    </row>
    <row r="25" spans="1:12" ht="12.75" customHeight="1" x14ac:dyDescent="0.25">
      <c r="A25" s="14"/>
      <c r="B25" s="14"/>
      <c r="C25" s="14"/>
      <c r="D25" s="14"/>
      <c r="E25" s="14"/>
      <c r="F25" s="29"/>
      <c r="G25" s="29"/>
      <c r="H25" s="29"/>
      <c r="I25" s="29"/>
      <c r="J25" s="29"/>
      <c r="K25" s="29"/>
      <c r="L25" s="29"/>
    </row>
    <row r="26" spans="1:12" ht="12.7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5.75" customHeigh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14.25" customHeight="1" x14ac:dyDescent="0.25">
      <c r="A28" s="32" t="s">
        <v>204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13.8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3">
      <c r="A30" s="31" t="str">
        <f>IF(Source!G12&lt;&gt;"Новый объект", Source!G12, "")</f>
        <v>Текущий ремонт межпанельных швов на 1 мп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4.25" customHeight="1" x14ac:dyDescent="0.25">
      <c r="A31" s="32" t="s">
        <v>205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14.25" customHeight="1" x14ac:dyDescent="0.25">
      <c r="A32" s="17"/>
      <c r="B32" s="17"/>
      <c r="C32" s="17"/>
      <c r="D32" s="17"/>
      <c r="E32" s="17"/>
      <c r="F32" s="20"/>
      <c r="G32" s="20"/>
      <c r="H32" s="20"/>
      <c r="I32" s="20"/>
      <c r="J32" s="20"/>
      <c r="K32" s="20"/>
      <c r="L32" s="20"/>
    </row>
    <row r="33" spans="1:12" ht="15.75" customHeight="1" x14ac:dyDescent="0.3">
      <c r="A33" s="30" t="str">
        <f>CONCATENATE( "ЛОКАЛЬНАЯ СМЕТА № ", Source!L20, " ",Source!CM20)</f>
        <v xml:space="preserve">ЛОКАЛЬНАЯ СМЕТА № Новая локальная смета 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8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3"/>
    </row>
    <row r="35" spans="1:12" ht="18" customHeight="1" x14ac:dyDescent="0.3">
      <c r="A35" s="35" t="str">
        <f>IF(Source!G20&lt;&gt;"Новая локальная смета", Source!G20, "")</f>
        <v/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2" ht="14.25" customHeight="1" x14ac:dyDescent="0.25">
      <c r="A36" s="32" t="s">
        <v>206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3.8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3.8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3.2" customHeight="1" x14ac:dyDescent="0.25">
      <c r="A39" s="24" t="s">
        <v>207</v>
      </c>
      <c r="B39" s="24"/>
      <c r="C39" s="37" t="s">
        <v>237</v>
      </c>
      <c r="D39" s="24" t="s">
        <v>208</v>
      </c>
      <c r="E39" s="24"/>
      <c r="F39" s="24"/>
      <c r="G39" s="24"/>
      <c r="H39" s="24"/>
      <c r="I39" s="24"/>
      <c r="J39" s="24"/>
      <c r="K39" s="24"/>
      <c r="L39" s="24"/>
    </row>
    <row r="40" spans="1:12" ht="13.2" customHeight="1" x14ac:dyDescent="0.25">
      <c r="A40" s="24"/>
      <c r="B40" s="24"/>
      <c r="C40" s="38"/>
      <c r="D40" s="24"/>
      <c r="E40" s="24"/>
      <c r="F40" s="24"/>
      <c r="G40" s="24"/>
      <c r="H40" s="24"/>
      <c r="I40" s="24"/>
      <c r="J40" s="24"/>
      <c r="K40" s="24"/>
      <c r="L40" s="24"/>
    </row>
    <row r="41" spans="1:12" ht="13.2" customHeight="1" x14ac:dyDescent="0.25">
      <c r="A41" s="24" t="s">
        <v>209</v>
      </c>
      <c r="B41" s="24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ht="12.75" customHeight="1" x14ac:dyDescent="0.25">
      <c r="A42" s="40"/>
      <c r="B42" s="41"/>
      <c r="C42" s="32" t="s">
        <v>210</v>
      </c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3.8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3.8" customHeight="1" x14ac:dyDescent="0.25">
      <c r="A44" s="42" t="s">
        <v>238</v>
      </c>
      <c r="B44" s="17"/>
      <c r="C44" s="17"/>
      <c r="D44" s="43"/>
      <c r="E44" s="17"/>
      <c r="F44" s="17"/>
      <c r="G44" s="17"/>
      <c r="H44" s="17"/>
      <c r="I44" s="17"/>
      <c r="J44" s="17"/>
      <c r="K44" s="17"/>
      <c r="L44" s="17"/>
    </row>
    <row r="45" spans="1:12" ht="13.8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3.8" customHeight="1" x14ac:dyDescent="0.25">
      <c r="A46" s="42" t="s">
        <v>211</v>
      </c>
      <c r="B46" s="17"/>
      <c r="C46" s="100">
        <f>C49+C50+C51+C52</f>
        <v>1.1299999999999999</v>
      </c>
      <c r="D46" s="44"/>
      <c r="E46" s="24" t="s">
        <v>212</v>
      </c>
      <c r="F46" s="14"/>
      <c r="G46" s="14"/>
      <c r="H46" s="14"/>
      <c r="I46" s="14"/>
      <c r="J46" s="14"/>
      <c r="K46" s="14"/>
      <c r="L46" s="17"/>
    </row>
    <row r="47" spans="1:12" ht="13.8" customHeight="1" x14ac:dyDescent="0.25">
      <c r="A47" s="42"/>
      <c r="B47" s="17"/>
      <c r="C47" s="101"/>
      <c r="D47" s="45"/>
      <c r="E47" s="24"/>
      <c r="F47" s="14"/>
      <c r="G47" s="24" t="s">
        <v>213</v>
      </c>
      <c r="H47" s="17"/>
      <c r="I47" s="24"/>
      <c r="J47" s="24"/>
      <c r="K47" s="103">
        <f>ROUND(SUM(AR60:AR186)/1000, 2)</f>
        <v>0.16</v>
      </c>
      <c r="L47" s="24" t="s">
        <v>212</v>
      </c>
    </row>
    <row r="48" spans="1:12" ht="13.8" customHeight="1" x14ac:dyDescent="0.25">
      <c r="A48" s="17"/>
      <c r="B48" s="46" t="s">
        <v>214</v>
      </c>
      <c r="C48" s="102"/>
      <c r="D48" s="17"/>
      <c r="E48" s="24"/>
      <c r="F48" s="14"/>
      <c r="G48" s="24" t="s">
        <v>215</v>
      </c>
      <c r="H48" s="17"/>
      <c r="I48" s="24"/>
      <c r="J48" s="24"/>
      <c r="K48" s="103">
        <f>ROUND(SUM(AT60:AT186)/1000, 2)</f>
        <v>0.08</v>
      </c>
      <c r="L48" s="24" t="s">
        <v>212</v>
      </c>
    </row>
    <row r="49" spans="1:83" ht="13.8" customHeight="1" x14ac:dyDescent="0.25">
      <c r="A49" s="17"/>
      <c r="B49" s="42" t="s">
        <v>216</v>
      </c>
      <c r="C49" s="100">
        <f>ROUND((Source!F45)/1000, 2)</f>
        <v>1.1299999999999999</v>
      </c>
      <c r="D49" s="44"/>
      <c r="E49" s="24" t="s">
        <v>212</v>
      </c>
      <c r="F49" s="14"/>
      <c r="G49" s="24" t="s">
        <v>217</v>
      </c>
      <c r="H49" s="17"/>
      <c r="I49" s="24"/>
      <c r="J49" s="45"/>
      <c r="K49" s="104">
        <f>Source!F50</f>
        <v>0.29360000000000003</v>
      </c>
      <c r="L49" s="24" t="s">
        <v>175</v>
      </c>
    </row>
    <row r="50" spans="1:83" ht="13.8" customHeight="1" x14ac:dyDescent="0.25">
      <c r="A50" s="17"/>
      <c r="B50" s="42" t="s">
        <v>218</v>
      </c>
      <c r="C50" s="100">
        <f>ROUND((Source!F46)/1000, 2)</f>
        <v>0</v>
      </c>
      <c r="D50" s="44"/>
      <c r="E50" s="24" t="s">
        <v>212</v>
      </c>
      <c r="F50" s="14"/>
      <c r="G50" s="24" t="s">
        <v>219</v>
      </c>
      <c r="H50" s="17"/>
      <c r="I50" s="24"/>
      <c r="J50" s="47"/>
      <c r="K50" s="104">
        <f>Source!F51</f>
        <v>0.1182</v>
      </c>
      <c r="L50" s="24" t="s">
        <v>175</v>
      </c>
    </row>
    <row r="51" spans="1:83" ht="13.8" customHeight="1" x14ac:dyDescent="0.25">
      <c r="A51" s="17"/>
      <c r="B51" s="42" t="s">
        <v>220</v>
      </c>
      <c r="C51" s="100">
        <f>ROUND((Source!F37)/1000, 2)</f>
        <v>0</v>
      </c>
      <c r="D51" s="44"/>
      <c r="E51" s="24" t="s">
        <v>212</v>
      </c>
      <c r="F51" s="14"/>
      <c r="G51" s="24"/>
      <c r="H51" s="24"/>
      <c r="I51" s="24"/>
      <c r="J51" s="24"/>
      <c r="K51" s="14"/>
      <c r="L51" s="24"/>
    </row>
    <row r="52" spans="1:83" ht="13.8" customHeight="1" x14ac:dyDescent="0.25">
      <c r="A52" s="17"/>
      <c r="B52" s="42" t="s">
        <v>221</v>
      </c>
      <c r="C52" s="100">
        <f>ROUND((Source!F47)/1000, 2)</f>
        <v>0</v>
      </c>
      <c r="D52" s="44"/>
      <c r="E52" s="24" t="s">
        <v>212</v>
      </c>
      <c r="F52" s="14"/>
      <c r="G52" s="24"/>
      <c r="H52" s="24"/>
      <c r="I52" s="24"/>
      <c r="J52" s="24"/>
      <c r="K52" s="14"/>
      <c r="L52" s="24"/>
    </row>
    <row r="53" spans="1:83" ht="13.8" customHeight="1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1:83" ht="13.2" customHeight="1" x14ac:dyDescent="0.25">
      <c r="A54" s="52" t="s">
        <v>222</v>
      </c>
      <c r="B54" s="52" t="s">
        <v>223</v>
      </c>
      <c r="C54" s="52" t="s">
        <v>224</v>
      </c>
      <c r="D54" s="52" t="s">
        <v>225</v>
      </c>
      <c r="E54" s="50" t="s">
        <v>226</v>
      </c>
      <c r="F54" s="49"/>
      <c r="G54" s="56"/>
      <c r="H54" s="50" t="s">
        <v>227</v>
      </c>
      <c r="I54" s="49"/>
      <c r="J54" s="49"/>
      <c r="K54" s="49"/>
      <c r="L54" s="56"/>
    </row>
    <row r="55" spans="1:83" ht="13.2" customHeight="1" x14ac:dyDescent="0.25">
      <c r="A55" s="53"/>
      <c r="B55" s="53"/>
      <c r="C55" s="53"/>
      <c r="D55" s="53"/>
      <c r="E55" s="51"/>
      <c r="F55" s="55"/>
      <c r="G55" s="57"/>
      <c r="H55" s="51"/>
      <c r="I55" s="55"/>
      <c r="J55" s="55"/>
      <c r="K55" s="55"/>
      <c r="L55" s="57"/>
    </row>
    <row r="56" spans="1:83" ht="13.2" customHeight="1" x14ac:dyDescent="0.25">
      <c r="A56" s="53"/>
      <c r="B56" s="53"/>
      <c r="C56" s="53"/>
      <c r="D56" s="53"/>
      <c r="E56" s="51"/>
      <c r="F56" s="55"/>
      <c r="G56" s="57"/>
      <c r="H56" s="51"/>
      <c r="I56" s="55"/>
      <c r="J56" s="55"/>
      <c r="K56" s="55"/>
      <c r="L56" s="57"/>
    </row>
    <row r="57" spans="1:83" ht="13.2" customHeight="1" x14ac:dyDescent="0.25">
      <c r="A57" s="53"/>
      <c r="B57" s="53"/>
      <c r="C57" s="53"/>
      <c r="D57" s="53"/>
      <c r="E57" s="58"/>
      <c r="F57" s="59"/>
      <c r="G57" s="60"/>
      <c r="H57" s="58"/>
      <c r="I57" s="59"/>
      <c r="J57" s="59"/>
      <c r="K57" s="59"/>
      <c r="L57" s="60"/>
    </row>
    <row r="58" spans="1:83" ht="52.8" customHeight="1" x14ac:dyDescent="0.25">
      <c r="A58" s="54"/>
      <c r="B58" s="54"/>
      <c r="C58" s="54"/>
      <c r="D58" s="54"/>
      <c r="E58" s="61" t="s">
        <v>228</v>
      </c>
      <c r="F58" s="61" t="s">
        <v>229</v>
      </c>
      <c r="G58" s="62" t="s">
        <v>230</v>
      </c>
      <c r="H58" s="61" t="s">
        <v>231</v>
      </c>
      <c r="I58" s="61" t="s">
        <v>232</v>
      </c>
      <c r="J58" s="61" t="s">
        <v>233</v>
      </c>
      <c r="K58" s="61" t="s">
        <v>229</v>
      </c>
      <c r="L58" s="61" t="s">
        <v>234</v>
      </c>
    </row>
    <row r="59" spans="1:83" ht="13.8" customHeight="1" x14ac:dyDescent="0.25">
      <c r="A59" s="63">
        <v>1</v>
      </c>
      <c r="B59" s="63">
        <v>2</v>
      </c>
      <c r="C59" s="63">
        <v>3</v>
      </c>
      <c r="D59" s="63">
        <v>4</v>
      </c>
      <c r="E59" s="63">
        <v>5</v>
      </c>
      <c r="F59" s="63">
        <v>6</v>
      </c>
      <c r="G59" s="63">
        <v>7</v>
      </c>
      <c r="H59" s="63">
        <v>8</v>
      </c>
      <c r="I59" s="63">
        <v>9</v>
      </c>
      <c r="J59" s="63">
        <v>10</v>
      </c>
      <c r="K59" s="65">
        <v>11</v>
      </c>
      <c r="L59" s="65">
        <v>12</v>
      </c>
    </row>
    <row r="60" spans="1:83" ht="69" x14ac:dyDescent="0.25">
      <c r="A60" s="67" t="s">
        <v>15</v>
      </c>
      <c r="B60" s="69" t="s">
        <v>239</v>
      </c>
      <c r="C60" s="69" t="str">
        <f>Source!G24</f>
        <v>Ремонт и восстановление герметизации горизонтальных и вертикальных стыков стеновых панелей мастикой: вулканизирующейся тиоколовой или монтажной пеной</v>
      </c>
      <c r="D60" s="70" t="str">
        <f>Source!H24</f>
        <v>100 м</v>
      </c>
      <c r="E60" s="71">
        <f>Source!K24</f>
        <v>0.01</v>
      </c>
      <c r="F60" s="71"/>
      <c r="G60" s="71">
        <f>Source!I24</f>
        <v>0.01</v>
      </c>
      <c r="H60" s="73"/>
      <c r="I60" s="72"/>
      <c r="J60" s="73"/>
      <c r="K60" s="72"/>
      <c r="L60" s="73"/>
    </row>
    <row r="61" spans="1:83" ht="14.4" x14ac:dyDescent="0.25">
      <c r="A61" s="68"/>
      <c r="B61" s="71">
        <v>1</v>
      </c>
      <c r="C61" s="68" t="s">
        <v>240</v>
      </c>
      <c r="D61" s="70" t="s">
        <v>175</v>
      </c>
      <c r="E61" s="74"/>
      <c r="F61" s="71"/>
      <c r="G61" s="71">
        <f>Source!U24</f>
        <v>0.29360000000000003</v>
      </c>
      <c r="H61" s="71"/>
      <c r="I61" s="71"/>
      <c r="J61" s="71"/>
      <c r="K61" s="71"/>
      <c r="L61" s="75">
        <f>SUM(L62:L62)-SUMIF(CE62:CE62, 1, L62:L62)</f>
        <v>160.82</v>
      </c>
    </row>
    <row r="62" spans="1:83" ht="14.4" x14ac:dyDescent="0.25">
      <c r="A62" s="69"/>
      <c r="B62" s="69" t="s">
        <v>173</v>
      </c>
      <c r="C62" s="69" t="s">
        <v>174</v>
      </c>
      <c r="D62" s="70" t="s">
        <v>175</v>
      </c>
      <c r="E62" s="71">
        <v>29.36</v>
      </c>
      <c r="F62" s="71"/>
      <c r="G62" s="71">
        <f>SmtRes!CX1</f>
        <v>0.29360000000000003</v>
      </c>
      <c r="H62" s="73"/>
      <c r="I62" s="72"/>
      <c r="J62" s="73">
        <f>SmtRes!CZ1</f>
        <v>547.74</v>
      </c>
      <c r="K62" s="72"/>
      <c r="L62" s="73">
        <f>SmtRes!DI1</f>
        <v>160.82</v>
      </c>
    </row>
    <row r="63" spans="1:83" ht="14.4" x14ac:dyDescent="0.25">
      <c r="A63" s="68"/>
      <c r="B63" s="71">
        <v>2</v>
      </c>
      <c r="C63" s="68" t="s">
        <v>241</v>
      </c>
      <c r="D63" s="70"/>
      <c r="E63" s="74"/>
      <c r="F63" s="71"/>
      <c r="G63" s="71"/>
      <c r="H63" s="71"/>
      <c r="I63" s="71"/>
      <c r="J63" s="71"/>
      <c r="K63" s="71"/>
      <c r="L63" s="75">
        <f>SUM(L64:L70)-SUMIF(CE64:CE70, 1, L64:L70)</f>
        <v>180.83999999999997</v>
      </c>
    </row>
    <row r="64" spans="1:83" ht="14.4" x14ac:dyDescent="0.25">
      <c r="A64" s="68"/>
      <c r="B64" s="71"/>
      <c r="C64" s="68" t="s">
        <v>244</v>
      </c>
      <c r="D64" s="70" t="s">
        <v>175</v>
      </c>
      <c r="E64" s="74"/>
      <c r="F64" s="71"/>
      <c r="G64" s="71">
        <f>Source!V24</f>
        <v>0.1182</v>
      </c>
      <c r="H64" s="71"/>
      <c r="I64" s="71"/>
      <c r="J64" s="71"/>
      <c r="K64" s="71"/>
      <c r="L64" s="75">
        <f>SUMIF(CE65:CE70, 1, L65:L70)</f>
        <v>80.17</v>
      </c>
      <c r="CE64">
        <v>1</v>
      </c>
    </row>
    <row r="65" spans="1:83" ht="27.6" x14ac:dyDescent="0.25">
      <c r="A65" s="69"/>
      <c r="B65" s="69" t="s">
        <v>178</v>
      </c>
      <c r="C65" s="69" t="s">
        <v>180</v>
      </c>
      <c r="D65" s="70" t="s">
        <v>181</v>
      </c>
      <c r="E65" s="71">
        <v>5.73</v>
      </c>
      <c r="F65" s="71"/>
      <c r="G65" s="71">
        <f>SmtRes!CX3</f>
        <v>5.7299999999999997E-2</v>
      </c>
      <c r="H65" s="73"/>
      <c r="I65" s="72"/>
      <c r="J65" s="73">
        <f>SmtRes!CZ3</f>
        <v>2716.21</v>
      </c>
      <c r="K65" s="72"/>
      <c r="L65" s="73">
        <f>SmtRes!DG3</f>
        <v>155.63999999999999</v>
      </c>
    </row>
    <row r="66" spans="1:83" ht="14.4" x14ac:dyDescent="0.25">
      <c r="A66" s="69"/>
      <c r="B66" s="69" t="s">
        <v>182</v>
      </c>
      <c r="C66" s="69" t="s">
        <v>242</v>
      </c>
      <c r="D66" s="70" t="s">
        <v>175</v>
      </c>
      <c r="E66" s="71">
        <f>SmtRes!DO3*SmtRes!AT3</f>
        <v>5.73</v>
      </c>
      <c r="F66" s="71"/>
      <c r="G66" s="71">
        <f>ROUND(E66*G60, 7)</f>
        <v>5.7299999999999997E-2</v>
      </c>
      <c r="H66" s="73"/>
      <c r="I66" s="72"/>
      <c r="J66" s="73">
        <f>ROUND(SmtRes!AG3/SmtRes!DO3, 2)</f>
        <v>825.64</v>
      </c>
      <c r="K66" s="72"/>
      <c r="L66" s="73">
        <f>SmtRes!DH3</f>
        <v>47.31</v>
      </c>
      <c r="CE66">
        <v>1</v>
      </c>
    </row>
    <row r="67" spans="1:83" ht="27.6" x14ac:dyDescent="0.25">
      <c r="A67" s="69"/>
      <c r="B67" s="69" t="s">
        <v>183</v>
      </c>
      <c r="C67" s="69" t="s">
        <v>185</v>
      </c>
      <c r="D67" s="70" t="s">
        <v>181</v>
      </c>
      <c r="E67" s="71">
        <v>0.36</v>
      </c>
      <c r="F67" s="71"/>
      <c r="G67" s="71">
        <f>SmtRes!CX4</f>
        <v>3.5999999999999999E-3</v>
      </c>
      <c r="H67" s="73"/>
      <c r="I67" s="72"/>
      <c r="J67" s="73">
        <f>SmtRes!CZ4</f>
        <v>641.70000000000005</v>
      </c>
      <c r="K67" s="72"/>
      <c r="L67" s="73">
        <f>SmtRes!DG4</f>
        <v>2.31</v>
      </c>
    </row>
    <row r="68" spans="1:83" ht="14.4" x14ac:dyDescent="0.25">
      <c r="A68" s="69"/>
      <c r="B68" s="69" t="s">
        <v>186</v>
      </c>
      <c r="C68" s="69" t="s">
        <v>243</v>
      </c>
      <c r="D68" s="70" t="s">
        <v>175</v>
      </c>
      <c r="E68" s="71">
        <f>SmtRes!DO4*SmtRes!AT4</f>
        <v>0.36</v>
      </c>
      <c r="F68" s="71"/>
      <c r="G68" s="71">
        <f>ROUND(E68*G60, 7)</f>
        <v>3.5999999999999999E-3</v>
      </c>
      <c r="H68" s="73"/>
      <c r="I68" s="72"/>
      <c r="J68" s="73">
        <f>ROUND(SmtRes!AG4/SmtRes!DO4, 2)</f>
        <v>539.69000000000005</v>
      </c>
      <c r="K68" s="72"/>
      <c r="L68" s="73">
        <f>SmtRes!DH4</f>
        <v>1.94</v>
      </c>
      <c r="CE68">
        <v>1</v>
      </c>
    </row>
    <row r="69" spans="1:83" ht="55.2" x14ac:dyDescent="0.25">
      <c r="A69" s="69"/>
      <c r="B69" s="69" t="s">
        <v>187</v>
      </c>
      <c r="C69" s="69" t="s">
        <v>189</v>
      </c>
      <c r="D69" s="70" t="s">
        <v>181</v>
      </c>
      <c r="E69" s="71">
        <v>5.73</v>
      </c>
      <c r="F69" s="71"/>
      <c r="G69" s="71">
        <f>SmtRes!CX5</f>
        <v>5.7299999999999997E-2</v>
      </c>
      <c r="H69" s="73"/>
      <c r="I69" s="72"/>
      <c r="J69" s="73">
        <f>SmtRes!CZ5</f>
        <v>399.44</v>
      </c>
      <c r="K69" s="72"/>
      <c r="L69" s="73">
        <f>SmtRes!DG5</f>
        <v>22.89</v>
      </c>
    </row>
    <row r="70" spans="1:83" ht="14.4" x14ac:dyDescent="0.25">
      <c r="A70" s="69"/>
      <c r="B70" s="69" t="s">
        <v>186</v>
      </c>
      <c r="C70" s="69" t="s">
        <v>243</v>
      </c>
      <c r="D70" s="70" t="s">
        <v>175</v>
      </c>
      <c r="E70" s="71">
        <f>SmtRes!DO5*SmtRes!AT5</f>
        <v>5.73</v>
      </c>
      <c r="F70" s="71"/>
      <c r="G70" s="71">
        <f>ROUND(E70*G60, 7)</f>
        <v>5.7299999999999997E-2</v>
      </c>
      <c r="H70" s="73"/>
      <c r="I70" s="72"/>
      <c r="J70" s="73">
        <f>ROUND(SmtRes!AG5/SmtRes!DO5, 2)</f>
        <v>539.69000000000005</v>
      </c>
      <c r="K70" s="72"/>
      <c r="L70" s="73">
        <f>SmtRes!DH5</f>
        <v>30.92</v>
      </c>
      <c r="CE70">
        <v>1</v>
      </c>
    </row>
    <row r="71" spans="1:83" ht="14.4" x14ac:dyDescent="0.25">
      <c r="A71" s="69"/>
      <c r="B71" s="69" t="str">
        <f>EtalonRes!I6</f>
        <v>14.5.04.07</v>
      </c>
      <c r="C71" s="76" t="str">
        <f>EtalonRes!K6</f>
        <v>Мастика тиоколовая</v>
      </c>
      <c r="D71" s="77" t="str">
        <f>EtalonRes!O6</f>
        <v>кг</v>
      </c>
      <c r="E71" s="78">
        <f>EtalonRes!X6</f>
        <v>0</v>
      </c>
      <c r="F71" s="78"/>
      <c r="G71" s="78">
        <f>ROUND(EtalonRes!AG6*Source!I24, 7)</f>
        <v>0</v>
      </c>
      <c r="H71" s="79"/>
      <c r="I71" s="80"/>
      <c r="J71" s="79"/>
      <c r="K71" s="80"/>
      <c r="L71" s="79"/>
    </row>
    <row r="72" spans="1:83" ht="14.4" x14ac:dyDescent="0.25">
      <c r="A72" s="69"/>
      <c r="B72" s="69"/>
      <c r="C72" s="82" t="s">
        <v>245</v>
      </c>
      <c r="D72" s="70"/>
      <c r="E72" s="71"/>
      <c r="F72" s="71"/>
      <c r="G72" s="71"/>
      <c r="H72" s="73"/>
      <c r="I72" s="72"/>
      <c r="J72" s="73"/>
      <c r="K72" s="72"/>
      <c r="L72" s="73">
        <f>L61+L63+L64</f>
        <v>421.83</v>
      </c>
    </row>
    <row r="73" spans="1:83" ht="41.4" x14ac:dyDescent="0.25">
      <c r="A73" s="67" t="s">
        <v>246</v>
      </c>
      <c r="B73" s="69" t="str">
        <f>Source!F25</f>
        <v>14.5.04.07-0013</v>
      </c>
      <c r="C73" s="69" t="str">
        <f>Source!G25</f>
        <v>Мастика тиоколовая двухкомпонентная строительного назначения, полисульфидная отверждающаяся</v>
      </c>
      <c r="D73" s="70" t="str">
        <f>Source!H25</f>
        <v>кг</v>
      </c>
      <c r="E73" s="71">
        <f>SmtRes!AT6</f>
        <v>50</v>
      </c>
      <c r="F73" s="71"/>
      <c r="G73" s="71">
        <f>Source!I25</f>
        <v>0.5</v>
      </c>
      <c r="H73" s="73">
        <f>Source!AL25+Source!AO25+Source!AM25+Source!AN25</f>
        <v>259.95999999999998</v>
      </c>
      <c r="I73" s="72">
        <f>IF(Source!BC25&lt;&gt; 0, Source!BC25, 1)</f>
        <v>1.72</v>
      </c>
      <c r="J73" s="73">
        <f>ROUND(H73*I73, 2)</f>
        <v>447.13</v>
      </c>
      <c r="K73" s="72"/>
      <c r="L73" s="73">
        <f>Source!P25</f>
        <v>223.57</v>
      </c>
      <c r="AD73">
        <f>ROUND((Source!AT25/100)*((ROUND(ROUND(Source!AO25,2)*Source!I25, 2)+ROUND(ROUND(Source!AN25,2)*Source!I25, 2))), 2)</f>
        <v>0</v>
      </c>
      <c r="AE73">
        <f>ROUND((Source!AU25/100)*((ROUND(ROUND(Source!AO25,2)*Source!I25, 2)+ROUND(ROUND(Source!AN25,2)*Source!I25, 2))), 2)</f>
        <v>0</v>
      </c>
      <c r="AN73">
        <f>L73</f>
        <v>223.57</v>
      </c>
      <c r="AW73">
        <f>L73</f>
        <v>223.57</v>
      </c>
      <c r="AZ73">
        <f>Source!X25</f>
        <v>0</v>
      </c>
      <c r="BA73">
        <f>Source!Y25</f>
        <v>0</v>
      </c>
      <c r="CD73">
        <v>1</v>
      </c>
    </row>
    <row r="74" spans="1:83" ht="14.4" x14ac:dyDescent="0.25">
      <c r="A74" s="69"/>
      <c r="B74" s="69"/>
      <c r="C74" s="69" t="s">
        <v>247</v>
      </c>
      <c r="D74" s="70"/>
      <c r="E74" s="71"/>
      <c r="F74" s="71"/>
      <c r="G74" s="71"/>
      <c r="H74" s="73"/>
      <c r="I74" s="72"/>
      <c r="J74" s="73"/>
      <c r="K74" s="72"/>
      <c r="L74" s="73">
        <f>SUM(AR60:AR77)+SUM(AS60:AS77)+SUM(AT60:AT77)+SUM(AU60:AU77)+SUM(AV60:AV77)</f>
        <v>240.99</v>
      </c>
    </row>
    <row r="75" spans="1:83" ht="14.4" x14ac:dyDescent="0.25">
      <c r="A75" s="69"/>
      <c r="B75" s="69" t="s">
        <v>23</v>
      </c>
      <c r="C75" s="69" t="s">
        <v>248</v>
      </c>
      <c r="D75" s="70" t="s">
        <v>249</v>
      </c>
      <c r="E75" s="71">
        <f>Source!BZ24</f>
        <v>92</v>
      </c>
      <c r="F75" s="71"/>
      <c r="G75" s="71">
        <f>Source!AT24</f>
        <v>92</v>
      </c>
      <c r="H75" s="73"/>
      <c r="I75" s="72"/>
      <c r="J75" s="73"/>
      <c r="K75" s="72"/>
      <c r="L75" s="73">
        <f>SUM(AZ60:AZ77)</f>
        <v>221.71</v>
      </c>
    </row>
    <row r="76" spans="1:83" ht="14.4" x14ac:dyDescent="0.25">
      <c r="A76" s="76"/>
      <c r="B76" s="76" t="s">
        <v>24</v>
      </c>
      <c r="C76" s="76" t="s">
        <v>250</v>
      </c>
      <c r="D76" s="77" t="s">
        <v>249</v>
      </c>
      <c r="E76" s="78">
        <f>Source!CA24</f>
        <v>52</v>
      </c>
      <c r="F76" s="78"/>
      <c r="G76" s="78">
        <f>Source!AU24</f>
        <v>52</v>
      </c>
      <c r="H76" s="79"/>
      <c r="I76" s="80"/>
      <c r="J76" s="79"/>
      <c r="K76" s="80"/>
      <c r="L76" s="79">
        <f>SUM(BA60:BA77)</f>
        <v>125.31</v>
      </c>
    </row>
    <row r="77" spans="1:83" ht="13.8" x14ac:dyDescent="0.25">
      <c r="C77" s="84" t="s">
        <v>251</v>
      </c>
      <c r="D77" s="84"/>
      <c r="E77" s="84"/>
      <c r="F77" s="84"/>
      <c r="G77" s="84"/>
      <c r="H77" s="84"/>
      <c r="I77" s="85">
        <f>IF(E60&lt;&gt;0,K77/E60, 0)</f>
        <v>99242</v>
      </c>
      <c r="J77" s="85"/>
      <c r="K77" s="85">
        <f>L61+L63+L75+L76+L64+SUM(L73:L73)</f>
        <v>992.42000000000007</v>
      </c>
      <c r="L77" s="85"/>
      <c r="AD77">
        <f>ROUND((Source!AT24/100)*((ROUND(SUMIF(SmtRes!AQ1:'SmtRes'!AQ6,"=1",SmtRes!AD1:'SmtRes'!AD6)*Source!I24, 2)+ROUND(SUMIF(SmtRes!AQ1:'SmtRes'!AQ6,"=1",SmtRes!AC1:'SmtRes'!AC6)*Source!I24, 2))), 2)</f>
        <v>22.57</v>
      </c>
      <c r="AE77">
        <f>ROUND((Source!AU24/100)*((ROUND(SUMIF(SmtRes!AQ1:'SmtRes'!AQ6,"=1",SmtRes!AD1:'SmtRes'!AD6)*Source!I24, 2)+ROUND(SUMIF(SmtRes!AQ1:'SmtRes'!AQ6,"=1",SmtRes!AC1:'SmtRes'!AC6)*Source!I24, 2))), 2)</f>
        <v>12.76</v>
      </c>
      <c r="AN77" s="81">
        <f>L61+L63+L75+L76+L64</f>
        <v>768.85</v>
      </c>
      <c r="AO77" s="81">
        <f>L63</f>
        <v>180.83999999999997</v>
      </c>
      <c r="AQ77" t="s">
        <v>252</v>
      </c>
      <c r="AR77" s="81">
        <f>L61</f>
        <v>160.82</v>
      </c>
      <c r="AT77" s="81">
        <f>L64</f>
        <v>80.17</v>
      </c>
      <c r="AV77" t="s">
        <v>252</v>
      </c>
      <c r="AW77">
        <f>0</f>
        <v>0</v>
      </c>
      <c r="AZ77">
        <f>Source!X24</f>
        <v>221.71</v>
      </c>
      <c r="BA77">
        <f>Source!Y24</f>
        <v>125.31</v>
      </c>
      <c r="CD77">
        <v>1</v>
      </c>
    </row>
    <row r="78" spans="1:83" ht="41.4" x14ac:dyDescent="0.25">
      <c r="A78" s="86" t="s">
        <v>30</v>
      </c>
      <c r="B78" s="76" t="str">
        <f>Source!F26</f>
        <v>14.5.01.05-0011</v>
      </c>
      <c r="C78" s="76" t="str">
        <f>Source!G26</f>
        <v>Герметик пенополиуретановый (пена монтажная) универсальный, объем 850 мл</v>
      </c>
      <c r="D78" s="77" t="str">
        <f>Source!H26</f>
        <v>ШТ</v>
      </c>
      <c r="E78" s="78">
        <f>Source!K26</f>
        <v>0.4</v>
      </c>
      <c r="F78" s="78"/>
      <c r="G78" s="78">
        <f>Source!I26</f>
        <v>0.4</v>
      </c>
      <c r="H78" s="79"/>
      <c r="I78" s="80"/>
      <c r="J78" s="79">
        <f>Source!AL26</f>
        <v>350.8</v>
      </c>
      <c r="K78" s="80"/>
      <c r="L78" s="79">
        <f>Source!P26</f>
        <v>140.32</v>
      </c>
    </row>
    <row r="79" spans="1:83" ht="13.8" x14ac:dyDescent="0.25">
      <c r="C79" s="84" t="s">
        <v>251</v>
      </c>
      <c r="D79" s="84"/>
      <c r="E79" s="84"/>
      <c r="F79" s="84"/>
      <c r="G79" s="84"/>
      <c r="H79" s="84"/>
      <c r="I79" s="85">
        <f>IF(E78&lt;&gt;0,K79/E78, 0)</f>
        <v>350.79999999999995</v>
      </c>
      <c r="J79" s="85"/>
      <c r="K79" s="85">
        <f>L78</f>
        <v>140.32</v>
      </c>
      <c r="L79" s="85"/>
      <c r="AD79">
        <f>ROUND((Source!AT26/100)*((ROUND(ROUND(Source!AO26,2)*Source!I26, 2)+ROUND(ROUND(Source!AN26,2)*Source!I26, 2))), 2)</f>
        <v>0</v>
      </c>
      <c r="AE79">
        <f>ROUND((Source!AU26/100)*((ROUND(ROUND(Source!AO26,2)*Source!I26, 2)+ROUND(ROUND(Source!AN26,2)*Source!I26, 2))), 2)</f>
        <v>0</v>
      </c>
      <c r="AN79" s="81">
        <f>L78</f>
        <v>140.32</v>
      </c>
      <c r="AO79">
        <f>0</f>
        <v>0</v>
      </c>
      <c r="AQ79" t="s">
        <v>252</v>
      </c>
      <c r="AR79">
        <f>0</f>
        <v>0</v>
      </c>
      <c r="AT79">
        <f>0</f>
        <v>0</v>
      </c>
      <c r="AV79" t="s">
        <v>252</v>
      </c>
      <c r="AW79" s="81">
        <f>L78</f>
        <v>140.32</v>
      </c>
      <c r="AZ79">
        <f>Source!X26</f>
        <v>0</v>
      </c>
      <c r="BA79">
        <f>Source!Y26</f>
        <v>0</v>
      </c>
      <c r="CD79">
        <v>1</v>
      </c>
    </row>
    <row r="81" spans="1:12" ht="13.8" x14ac:dyDescent="0.25">
      <c r="A81" s="93"/>
      <c r="B81" s="94"/>
      <c r="C81" s="95" t="s">
        <v>253</v>
      </c>
      <c r="D81" s="95"/>
      <c r="E81" s="95"/>
      <c r="F81" s="95"/>
      <c r="G81" s="95"/>
      <c r="H81" s="95"/>
      <c r="I81" s="96"/>
      <c r="J81" s="93"/>
      <c r="K81" s="97"/>
      <c r="L81" s="96"/>
    </row>
    <row r="83" spans="1:12" ht="13.8" x14ac:dyDescent="0.25">
      <c r="A83" s="89"/>
      <c r="B83" s="90"/>
      <c r="C83" s="91" t="s">
        <v>254</v>
      </c>
      <c r="D83" s="91"/>
      <c r="E83" s="91"/>
      <c r="F83" s="91"/>
      <c r="G83" s="91"/>
      <c r="H83" s="91"/>
      <c r="I83" s="75"/>
      <c r="J83" s="89"/>
      <c r="K83" s="92"/>
      <c r="L83" s="75">
        <f>L85+L100+L101</f>
        <v>1132.74</v>
      </c>
    </row>
    <row r="84" spans="1:12" ht="13.8" x14ac:dyDescent="0.25">
      <c r="A84" s="83"/>
      <c r="B84" s="87"/>
      <c r="C84" s="98" t="s">
        <v>255</v>
      </c>
      <c r="D84" s="88"/>
      <c r="E84" s="88"/>
      <c r="F84" s="88"/>
      <c r="G84" s="88"/>
      <c r="H84" s="88"/>
      <c r="I84" s="73"/>
      <c r="J84" s="83"/>
      <c r="K84" s="71"/>
      <c r="L84" s="73"/>
    </row>
    <row r="85" spans="1:12" ht="13.8" x14ac:dyDescent="0.25">
      <c r="A85" s="83"/>
      <c r="B85" s="87"/>
      <c r="C85" s="88" t="s">
        <v>256</v>
      </c>
      <c r="D85" s="88"/>
      <c r="E85" s="88"/>
      <c r="F85" s="88"/>
      <c r="G85" s="88"/>
      <c r="H85" s="88"/>
      <c r="I85" s="73"/>
      <c r="J85" s="83"/>
      <c r="K85" s="71"/>
      <c r="L85" s="73">
        <f>L87+L88+L94+L98</f>
        <v>785.72</v>
      </c>
    </row>
    <row r="86" spans="1:12" ht="13.8" x14ac:dyDescent="0.25">
      <c r="A86" s="83"/>
      <c r="B86" s="87"/>
      <c r="C86" s="98" t="s">
        <v>255</v>
      </c>
      <c r="D86" s="88"/>
      <c r="E86" s="88"/>
      <c r="F86" s="88"/>
      <c r="G86" s="88"/>
      <c r="H86" s="88"/>
      <c r="I86" s="73"/>
      <c r="J86" s="83"/>
      <c r="K86" s="71"/>
      <c r="L86" s="73"/>
    </row>
    <row r="87" spans="1:12" ht="13.8" x14ac:dyDescent="0.25">
      <c r="A87" s="83"/>
      <c r="B87" s="87"/>
      <c r="C87" s="88" t="s">
        <v>257</v>
      </c>
      <c r="D87" s="88"/>
      <c r="E87" s="88"/>
      <c r="F87" s="88"/>
      <c r="G87" s="88"/>
      <c r="H87" s="88"/>
      <c r="I87" s="73"/>
      <c r="J87" s="83"/>
      <c r="K87" s="71"/>
      <c r="L87" s="73">
        <f>SUMIF(CD60:CD79, 1, AR60:AR79)</f>
        <v>160.82</v>
      </c>
    </row>
    <row r="88" spans="1:12" ht="13.8" hidden="1" x14ac:dyDescent="0.25">
      <c r="A88" s="83"/>
      <c r="B88" s="87"/>
      <c r="C88" s="88" t="s">
        <v>258</v>
      </c>
      <c r="D88" s="88"/>
      <c r="E88" s="88"/>
      <c r="F88" s="88"/>
      <c r="G88" s="88"/>
      <c r="H88" s="88"/>
      <c r="I88" s="73"/>
      <c r="J88" s="83"/>
      <c r="K88" s="71"/>
      <c r="L88" s="73">
        <f>L90+L93+L92</f>
        <v>261.01</v>
      </c>
    </row>
    <row r="89" spans="1:12" ht="13.8" hidden="1" x14ac:dyDescent="0.25">
      <c r="A89" s="83"/>
      <c r="B89" s="87"/>
      <c r="C89" s="98" t="s">
        <v>259</v>
      </c>
      <c r="D89" s="88"/>
      <c r="E89" s="88"/>
      <c r="F89" s="88"/>
      <c r="G89" s="88"/>
      <c r="H89" s="88"/>
      <c r="I89" s="73"/>
      <c r="J89" s="83"/>
      <c r="K89" s="71"/>
      <c r="L89" s="73"/>
    </row>
    <row r="90" spans="1:12" ht="13.8" x14ac:dyDescent="0.25">
      <c r="A90" s="83"/>
      <c r="B90" s="87"/>
      <c r="C90" s="88" t="s">
        <v>258</v>
      </c>
      <c r="D90" s="88"/>
      <c r="E90" s="88"/>
      <c r="F90" s="88"/>
      <c r="G90" s="88"/>
      <c r="H90" s="88"/>
      <c r="I90" s="73"/>
      <c r="J90" s="83"/>
      <c r="K90" s="71"/>
      <c r="L90" s="73">
        <f>SUMIF(CD60:CD79, 1, AO60:AO79)</f>
        <v>180.83999999999997</v>
      </c>
    </row>
    <row r="91" spans="1:12" ht="13.8" hidden="1" x14ac:dyDescent="0.25">
      <c r="A91" s="83"/>
      <c r="B91" s="87"/>
      <c r="C91" s="98" t="s">
        <v>260</v>
      </c>
      <c r="D91" s="88"/>
      <c r="E91" s="88"/>
      <c r="F91" s="88"/>
      <c r="G91" s="88"/>
      <c r="H91" s="88"/>
      <c r="I91" s="73"/>
      <c r="J91" s="83"/>
      <c r="K91" s="71"/>
      <c r="L91" s="73"/>
    </row>
    <row r="92" spans="1:12" ht="13.8" x14ac:dyDescent="0.25">
      <c r="A92" s="83"/>
      <c r="B92" s="87"/>
      <c r="C92" s="88" t="s">
        <v>269</v>
      </c>
      <c r="D92" s="88"/>
      <c r="E92" s="88"/>
      <c r="F92" s="88"/>
      <c r="G92" s="88"/>
      <c r="H92" s="88"/>
      <c r="I92" s="73"/>
      <c r="J92" s="83"/>
      <c r="K92" s="71"/>
      <c r="L92" s="73">
        <f>SUMIF(CD60:CD79, 1, AT60:AT79)</f>
        <v>80.17</v>
      </c>
    </row>
    <row r="93" spans="1:12" ht="13.8" hidden="1" x14ac:dyDescent="0.25">
      <c r="A93" s="83"/>
      <c r="B93" s="87"/>
      <c r="C93" s="88" t="s">
        <v>261</v>
      </c>
      <c r="D93" s="88"/>
      <c r="E93" s="88"/>
      <c r="F93" s="88"/>
      <c r="G93" s="88"/>
      <c r="H93" s="88"/>
      <c r="I93" s="73"/>
      <c r="J93" s="83"/>
      <c r="K93" s="71"/>
      <c r="L93" s="73">
        <f>SUMIF(CD60:CD79, 1, AV60:AV79)</f>
        <v>0</v>
      </c>
    </row>
    <row r="94" spans="1:12" ht="13.8" x14ac:dyDescent="0.25">
      <c r="A94" s="83"/>
      <c r="B94" s="87"/>
      <c r="C94" s="88" t="s">
        <v>262</v>
      </c>
      <c r="D94" s="88"/>
      <c r="E94" s="88"/>
      <c r="F94" s="88"/>
      <c r="G94" s="88"/>
      <c r="H94" s="88"/>
      <c r="I94" s="73"/>
      <c r="J94" s="83"/>
      <c r="K94" s="71"/>
      <c r="L94" s="73">
        <f>L96+L97</f>
        <v>363.89</v>
      </c>
    </row>
    <row r="95" spans="1:12" ht="13.8" x14ac:dyDescent="0.25">
      <c r="A95" s="83"/>
      <c r="B95" s="87"/>
      <c r="C95" s="98" t="s">
        <v>259</v>
      </c>
      <c r="D95" s="88"/>
      <c r="E95" s="88"/>
      <c r="F95" s="88"/>
      <c r="G95" s="88"/>
      <c r="H95" s="88"/>
      <c r="I95" s="73"/>
      <c r="J95" s="83"/>
      <c r="K95" s="71"/>
      <c r="L95" s="73"/>
    </row>
    <row r="96" spans="1:12" ht="13.8" x14ac:dyDescent="0.25">
      <c r="A96" s="83"/>
      <c r="B96" s="87"/>
      <c r="C96" s="88" t="s">
        <v>263</v>
      </c>
      <c r="D96" s="88"/>
      <c r="E96" s="88"/>
      <c r="F96" s="88"/>
      <c r="G96" s="88"/>
      <c r="H96" s="88"/>
      <c r="I96" s="73"/>
      <c r="J96" s="83"/>
      <c r="K96" s="71"/>
      <c r="L96" s="73">
        <f>SUMIF(CD60:CD79, 1, AW60:AW79)-SUMIF(CD60:CD79, 1, BK60:BK79)</f>
        <v>363.89</v>
      </c>
    </row>
    <row r="97" spans="1:12" ht="13.8" hidden="1" x14ac:dyDescent="0.25">
      <c r="A97" s="83"/>
      <c r="B97" s="87"/>
      <c r="C97" s="88" t="s">
        <v>264</v>
      </c>
      <c r="D97" s="88"/>
      <c r="E97" s="88"/>
      <c r="F97" s="88"/>
      <c r="G97" s="88"/>
      <c r="H97" s="88"/>
      <c r="I97" s="73"/>
      <c r="J97" s="83"/>
      <c r="K97" s="71"/>
      <c r="L97" s="73">
        <f>SUMIF(CD60:CD79, 1, BC60:BC79)</f>
        <v>0</v>
      </c>
    </row>
    <row r="98" spans="1:12" ht="13.8" hidden="1" x14ac:dyDescent="0.25">
      <c r="A98" s="83"/>
      <c r="B98" s="87"/>
      <c r="C98" s="88" t="s">
        <v>265</v>
      </c>
      <c r="D98" s="88"/>
      <c r="E98" s="88"/>
      <c r="F98" s="88"/>
      <c r="G98" s="88"/>
      <c r="H98" s="88"/>
      <c r="I98" s="73"/>
      <c r="J98" s="83"/>
      <c r="K98" s="71"/>
      <c r="L98" s="73">
        <f>SUMIF(CD60:CD79, 1, BB60:BB79)</f>
        <v>0</v>
      </c>
    </row>
    <row r="99" spans="1:12" ht="13.8" x14ac:dyDescent="0.25">
      <c r="A99" s="83"/>
      <c r="B99" s="87"/>
      <c r="C99" s="88" t="s">
        <v>266</v>
      </c>
      <c r="D99" s="88"/>
      <c r="E99" s="88"/>
      <c r="F99" s="88"/>
      <c r="G99" s="88"/>
      <c r="H99" s="88"/>
      <c r="I99" s="73"/>
      <c r="J99" s="83"/>
      <c r="K99" s="71"/>
      <c r="L99" s="73">
        <f>SUMIF(CD60:CD79, 1, AR60:AR79)+SUMIF(CD60:CD79, 1, AT60:AT79)+SUMIF(CD60:CD79, 1, AV60:AV79)</f>
        <v>240.99</v>
      </c>
    </row>
    <row r="100" spans="1:12" ht="13.8" x14ac:dyDescent="0.25">
      <c r="A100" s="83"/>
      <c r="B100" s="87"/>
      <c r="C100" s="88" t="s">
        <v>267</v>
      </c>
      <c r="D100" s="88"/>
      <c r="E100" s="88"/>
      <c r="F100" s="88"/>
      <c r="G100" s="88"/>
      <c r="H100" s="88"/>
      <c r="I100" s="73"/>
      <c r="J100" s="83"/>
      <c r="K100" s="71"/>
      <c r="L100" s="73">
        <f>SUMIF(CD60:CD79, 1, AZ60:AZ79)</f>
        <v>221.71</v>
      </c>
    </row>
    <row r="101" spans="1:12" ht="13.8" x14ac:dyDescent="0.25">
      <c r="A101" s="83"/>
      <c r="B101" s="87"/>
      <c r="C101" s="88" t="s">
        <v>268</v>
      </c>
      <c r="D101" s="88"/>
      <c r="E101" s="88"/>
      <c r="F101" s="88"/>
      <c r="G101" s="88"/>
      <c r="H101" s="88"/>
      <c r="I101" s="73"/>
      <c r="J101" s="83"/>
      <c r="K101" s="71"/>
      <c r="L101" s="73">
        <f>SUMIF(CD60:CD79, 1, BA60:BA79)</f>
        <v>125.31</v>
      </c>
    </row>
    <row r="102" spans="1:12" hidden="1" x14ac:dyDescent="0.25"/>
    <row r="103" spans="1:12" ht="13.8" hidden="1" x14ac:dyDescent="0.25">
      <c r="A103" s="89"/>
      <c r="B103" s="90"/>
      <c r="C103" s="91" t="s">
        <v>270</v>
      </c>
      <c r="D103" s="91"/>
      <c r="E103" s="91"/>
      <c r="F103" s="91"/>
      <c r="G103" s="91"/>
      <c r="H103" s="91"/>
      <c r="I103" s="75"/>
      <c r="J103" s="89"/>
      <c r="K103" s="92"/>
      <c r="L103" s="75">
        <f>L105+L120+L121</f>
        <v>0</v>
      </c>
    </row>
    <row r="104" spans="1:12" ht="13.8" hidden="1" x14ac:dyDescent="0.25">
      <c r="A104" s="83"/>
      <c r="B104" s="87"/>
      <c r="C104" s="98" t="s">
        <v>255</v>
      </c>
      <c r="D104" s="88"/>
      <c r="E104" s="88"/>
      <c r="F104" s="88"/>
      <c r="G104" s="88"/>
      <c r="H104" s="88"/>
      <c r="I104" s="73"/>
      <c r="J104" s="83"/>
      <c r="K104" s="71"/>
      <c r="L104" s="73"/>
    </row>
    <row r="105" spans="1:12" ht="13.8" hidden="1" x14ac:dyDescent="0.25">
      <c r="A105" s="83"/>
      <c r="B105" s="87"/>
      <c r="C105" s="88" t="s">
        <v>256</v>
      </c>
      <c r="D105" s="88"/>
      <c r="E105" s="88"/>
      <c r="F105" s="88"/>
      <c r="G105" s="88"/>
      <c r="H105" s="88"/>
      <c r="I105" s="73"/>
      <c r="J105" s="83"/>
      <c r="K105" s="71"/>
      <c r="L105" s="73">
        <f>L107+L108+L114+L118</f>
        <v>0</v>
      </c>
    </row>
    <row r="106" spans="1:12" ht="13.8" hidden="1" x14ac:dyDescent="0.25">
      <c r="A106" s="83"/>
      <c r="B106" s="87"/>
      <c r="C106" s="98" t="s">
        <v>255</v>
      </c>
      <c r="D106" s="88"/>
      <c r="E106" s="88"/>
      <c r="F106" s="88"/>
      <c r="G106" s="88"/>
      <c r="H106" s="88"/>
      <c r="I106" s="73"/>
      <c r="J106" s="83"/>
      <c r="K106" s="71"/>
      <c r="L106" s="73"/>
    </row>
    <row r="107" spans="1:12" ht="13.8" hidden="1" x14ac:dyDescent="0.25">
      <c r="A107" s="83"/>
      <c r="B107" s="87"/>
      <c r="C107" s="88" t="s">
        <v>257</v>
      </c>
      <c r="D107" s="88"/>
      <c r="E107" s="88"/>
      <c r="F107" s="88"/>
      <c r="G107" s="88"/>
      <c r="H107" s="88"/>
      <c r="I107" s="73"/>
      <c r="J107" s="83"/>
      <c r="K107" s="71"/>
      <c r="L107" s="73">
        <f>SUMIF(CD60:CD101, 2, AR60:AR101)</f>
        <v>0</v>
      </c>
    </row>
    <row r="108" spans="1:12" ht="13.8" hidden="1" x14ac:dyDescent="0.25">
      <c r="A108" s="83"/>
      <c r="B108" s="87"/>
      <c r="C108" s="88" t="s">
        <v>258</v>
      </c>
      <c r="D108" s="88"/>
      <c r="E108" s="88"/>
      <c r="F108" s="88"/>
      <c r="G108" s="88"/>
      <c r="H108" s="88"/>
      <c r="I108" s="73"/>
      <c r="J108" s="83"/>
      <c r="K108" s="71"/>
      <c r="L108" s="73">
        <f>L110+L113+L112</f>
        <v>0</v>
      </c>
    </row>
    <row r="109" spans="1:12" ht="13.8" hidden="1" x14ac:dyDescent="0.25">
      <c r="A109" s="83"/>
      <c r="B109" s="87"/>
      <c r="C109" s="98" t="s">
        <v>259</v>
      </c>
      <c r="D109" s="88"/>
      <c r="E109" s="88"/>
      <c r="F109" s="88"/>
      <c r="G109" s="88"/>
      <c r="H109" s="88"/>
      <c r="I109" s="73"/>
      <c r="J109" s="83"/>
      <c r="K109" s="71"/>
      <c r="L109" s="73"/>
    </row>
    <row r="110" spans="1:12" ht="13.8" hidden="1" x14ac:dyDescent="0.25">
      <c r="A110" s="83"/>
      <c r="B110" s="87"/>
      <c r="C110" s="88" t="s">
        <v>258</v>
      </c>
      <c r="D110" s="88"/>
      <c r="E110" s="88"/>
      <c r="F110" s="88"/>
      <c r="G110" s="88"/>
      <c r="H110" s="88"/>
      <c r="I110" s="73"/>
      <c r="J110" s="83"/>
      <c r="K110" s="71"/>
      <c r="L110" s="73">
        <f>SUMIF(CD60:CD101, 2, AO60:AO101)</f>
        <v>0</v>
      </c>
    </row>
    <row r="111" spans="1:12" ht="13.8" hidden="1" x14ac:dyDescent="0.25">
      <c r="A111" s="83"/>
      <c r="B111" s="87"/>
      <c r="C111" s="98" t="s">
        <v>260</v>
      </c>
      <c r="D111" s="88"/>
      <c r="E111" s="88"/>
      <c r="F111" s="88"/>
      <c r="G111" s="88"/>
      <c r="H111" s="88"/>
      <c r="I111" s="73"/>
      <c r="J111" s="83"/>
      <c r="K111" s="71"/>
      <c r="L111" s="73"/>
    </row>
    <row r="112" spans="1:12" ht="13.8" hidden="1" x14ac:dyDescent="0.25">
      <c r="A112" s="83"/>
      <c r="B112" s="87"/>
      <c r="C112" s="88" t="s">
        <v>269</v>
      </c>
      <c r="D112" s="88"/>
      <c r="E112" s="88"/>
      <c r="F112" s="88"/>
      <c r="G112" s="88"/>
      <c r="H112" s="88"/>
      <c r="I112" s="73"/>
      <c r="J112" s="83"/>
      <c r="K112" s="71"/>
      <c r="L112" s="73">
        <f>SUMIF(CD60:CD101, 2, AT60:AT101)</f>
        <v>0</v>
      </c>
    </row>
    <row r="113" spans="1:12" ht="13.8" hidden="1" x14ac:dyDescent="0.25">
      <c r="A113" s="83"/>
      <c r="B113" s="87"/>
      <c r="C113" s="88" t="s">
        <v>261</v>
      </c>
      <c r="D113" s="88"/>
      <c r="E113" s="88"/>
      <c r="F113" s="88"/>
      <c r="G113" s="88"/>
      <c r="H113" s="88"/>
      <c r="I113" s="73"/>
      <c r="J113" s="83"/>
      <c r="K113" s="71"/>
      <c r="L113" s="73">
        <f>SUMIF(CD60:CD101, 2, AV60:AV101)</f>
        <v>0</v>
      </c>
    </row>
    <row r="114" spans="1:12" ht="13.8" hidden="1" x14ac:dyDescent="0.25">
      <c r="A114" s="83"/>
      <c r="B114" s="87"/>
      <c r="C114" s="88" t="s">
        <v>262</v>
      </c>
      <c r="D114" s="88"/>
      <c r="E114" s="88"/>
      <c r="F114" s="88"/>
      <c r="G114" s="88"/>
      <c r="H114" s="88"/>
      <c r="I114" s="73"/>
      <c r="J114" s="83"/>
      <c r="K114" s="71"/>
      <c r="L114" s="73">
        <f>L116+L117</f>
        <v>0</v>
      </c>
    </row>
    <row r="115" spans="1:12" ht="13.8" hidden="1" x14ac:dyDescent="0.25">
      <c r="A115" s="83"/>
      <c r="B115" s="87"/>
      <c r="C115" s="98" t="s">
        <v>259</v>
      </c>
      <c r="D115" s="88"/>
      <c r="E115" s="88"/>
      <c r="F115" s="88"/>
      <c r="G115" s="88"/>
      <c r="H115" s="88"/>
      <c r="I115" s="73"/>
      <c r="J115" s="83"/>
      <c r="K115" s="71"/>
      <c r="L115" s="73"/>
    </row>
    <row r="116" spans="1:12" ht="13.8" hidden="1" x14ac:dyDescent="0.25">
      <c r="A116" s="83"/>
      <c r="B116" s="87"/>
      <c r="C116" s="88" t="s">
        <v>263</v>
      </c>
      <c r="D116" s="88"/>
      <c r="E116" s="88"/>
      <c r="F116" s="88"/>
      <c r="G116" s="88"/>
      <c r="H116" s="88"/>
      <c r="I116" s="73"/>
      <c r="J116" s="83"/>
      <c r="K116" s="71"/>
      <c r="L116" s="73">
        <f>SUMIF(CD60:CD101, 2, AW60:AW101)-SUMIF(CD60:CD101, 2, BK60:BK101)</f>
        <v>0</v>
      </c>
    </row>
    <row r="117" spans="1:12" ht="13.8" hidden="1" x14ac:dyDescent="0.25">
      <c r="A117" s="83"/>
      <c r="B117" s="87"/>
      <c r="C117" s="88" t="s">
        <v>264</v>
      </c>
      <c r="D117" s="88"/>
      <c r="E117" s="88"/>
      <c r="F117" s="88"/>
      <c r="G117" s="88"/>
      <c r="H117" s="88"/>
      <c r="I117" s="73"/>
      <c r="J117" s="83"/>
      <c r="K117" s="71"/>
      <c r="L117" s="73">
        <f>SUMIF(CD60:CD101, 2, BC60:BC101)</f>
        <v>0</v>
      </c>
    </row>
    <row r="118" spans="1:12" ht="13.8" hidden="1" x14ac:dyDescent="0.25">
      <c r="A118" s="83"/>
      <c r="B118" s="87"/>
      <c r="C118" s="88" t="s">
        <v>265</v>
      </c>
      <c r="D118" s="88"/>
      <c r="E118" s="88"/>
      <c r="F118" s="88"/>
      <c r="G118" s="88"/>
      <c r="H118" s="88"/>
      <c r="I118" s="73"/>
      <c r="J118" s="83"/>
      <c r="K118" s="71"/>
      <c r="L118" s="73">
        <f>SUMIF(CD60:CD101, 2, BB60:BB101)</f>
        <v>0</v>
      </c>
    </row>
    <row r="119" spans="1:12" ht="13.8" hidden="1" x14ac:dyDescent="0.25">
      <c r="A119" s="83"/>
      <c r="B119" s="87"/>
      <c r="C119" s="88" t="s">
        <v>266</v>
      </c>
      <c r="D119" s="88"/>
      <c r="E119" s="88"/>
      <c r="F119" s="88"/>
      <c r="G119" s="88"/>
      <c r="H119" s="88"/>
      <c r="I119" s="73"/>
      <c r="J119" s="83"/>
      <c r="K119" s="71"/>
      <c r="L119" s="73">
        <f>SUMIF(CD60:CD101, 2, AR60:AR101)+SUMIF(CD60:CD101, 2, AT60:AT101)+SUMIF(CD60:CD101, 2, AV60:AV101)</f>
        <v>0</v>
      </c>
    </row>
    <row r="120" spans="1:12" ht="13.8" hidden="1" x14ac:dyDescent="0.25">
      <c r="A120" s="83"/>
      <c r="B120" s="87"/>
      <c r="C120" s="88" t="s">
        <v>267</v>
      </c>
      <c r="D120" s="88"/>
      <c r="E120" s="88"/>
      <c r="F120" s="88"/>
      <c r="G120" s="88"/>
      <c r="H120" s="88"/>
      <c r="I120" s="73"/>
      <c r="J120" s="83"/>
      <c r="K120" s="71"/>
      <c r="L120" s="73">
        <f>SUMIF(CD60:CD101, 2, AZ60:AZ101)</f>
        <v>0</v>
      </c>
    </row>
    <row r="121" spans="1:12" ht="13.8" hidden="1" x14ac:dyDescent="0.25">
      <c r="A121" s="83"/>
      <c r="B121" s="87"/>
      <c r="C121" s="88" t="s">
        <v>268</v>
      </c>
      <c r="D121" s="88"/>
      <c r="E121" s="88"/>
      <c r="F121" s="88"/>
      <c r="G121" s="88"/>
      <c r="H121" s="88"/>
      <c r="I121" s="73"/>
      <c r="J121" s="83"/>
      <c r="K121" s="71"/>
      <c r="L121" s="73">
        <f>SUMIF(CD60:CD101, 2, BA60:BA101)</f>
        <v>0</v>
      </c>
    </row>
    <row r="122" spans="1:12" hidden="1" x14ac:dyDescent="0.25"/>
    <row r="123" spans="1:12" ht="13.8" hidden="1" x14ac:dyDescent="0.25">
      <c r="A123" s="89"/>
      <c r="B123" s="90"/>
      <c r="C123" s="91" t="s">
        <v>271</v>
      </c>
      <c r="D123" s="91"/>
      <c r="E123" s="91"/>
      <c r="F123" s="91"/>
      <c r="G123" s="91"/>
      <c r="H123" s="91"/>
      <c r="I123" s="75"/>
      <c r="J123" s="89"/>
      <c r="K123" s="92"/>
      <c r="L123" s="75">
        <f>L125+L126</f>
        <v>0</v>
      </c>
    </row>
    <row r="124" spans="1:12" ht="13.8" hidden="1" x14ac:dyDescent="0.25">
      <c r="A124" s="83"/>
      <c r="B124" s="87"/>
      <c r="C124" s="98" t="s">
        <v>255</v>
      </c>
      <c r="D124" s="88"/>
      <c r="E124" s="88"/>
      <c r="F124" s="88"/>
      <c r="G124" s="88"/>
      <c r="H124" s="88"/>
      <c r="I124" s="73"/>
      <c r="J124" s="83"/>
      <c r="K124" s="71"/>
      <c r="L124" s="73"/>
    </row>
    <row r="125" spans="1:12" ht="13.8" hidden="1" x14ac:dyDescent="0.25">
      <c r="A125" s="83"/>
      <c r="B125" s="87"/>
      <c r="C125" s="88" t="s">
        <v>272</v>
      </c>
      <c r="D125" s="88"/>
      <c r="E125" s="88"/>
      <c r="F125" s="88"/>
      <c r="G125" s="88"/>
      <c r="H125" s="88"/>
      <c r="I125" s="73"/>
      <c r="J125" s="83"/>
      <c r="K125" s="71"/>
      <c r="L125" s="73">
        <f>SUMIF(CD60:CD121, 3, BK60:BK121)</f>
        <v>0</v>
      </c>
    </row>
    <row r="126" spans="1:12" ht="13.8" hidden="1" x14ac:dyDescent="0.25">
      <c r="A126" s="83"/>
      <c r="B126" s="87"/>
      <c r="C126" s="88" t="s">
        <v>273</v>
      </c>
      <c r="D126" s="88"/>
      <c r="E126" s="88"/>
      <c r="F126" s="88"/>
      <c r="G126" s="88"/>
      <c r="H126" s="88"/>
      <c r="I126" s="73"/>
      <c r="J126" s="83"/>
      <c r="K126" s="71"/>
      <c r="L126" s="73">
        <f>SUMIF(CD60:CD121, 3, BD60:BD121)</f>
        <v>0</v>
      </c>
    </row>
    <row r="127" spans="1:12" hidden="1" x14ac:dyDescent="0.25"/>
    <row r="128" spans="1:12" ht="13.8" hidden="1" x14ac:dyDescent="0.25">
      <c r="A128" s="89"/>
      <c r="B128" s="90"/>
      <c r="C128" s="91" t="s">
        <v>274</v>
      </c>
      <c r="D128" s="91"/>
      <c r="E128" s="91"/>
      <c r="F128" s="91"/>
      <c r="G128" s="91"/>
      <c r="H128" s="91"/>
      <c r="I128" s="75"/>
      <c r="J128" s="89"/>
      <c r="K128" s="92"/>
      <c r="L128" s="75">
        <f>L136+L151+L152+L130+L131+L132+L133</f>
        <v>0</v>
      </c>
    </row>
    <row r="129" spans="1:12" ht="13.8" hidden="1" x14ac:dyDescent="0.25">
      <c r="A129" s="83"/>
      <c r="B129" s="87"/>
      <c r="C129" s="98" t="s">
        <v>255</v>
      </c>
      <c r="D129" s="88"/>
      <c r="E129" s="88"/>
      <c r="F129" s="88"/>
      <c r="G129" s="88"/>
      <c r="H129" s="88"/>
      <c r="I129" s="73"/>
      <c r="J129" s="83"/>
      <c r="K129" s="71"/>
      <c r="L129" s="73"/>
    </row>
    <row r="130" spans="1:12" ht="13.8" hidden="1" x14ac:dyDescent="0.25">
      <c r="A130" s="83"/>
      <c r="B130" s="87"/>
      <c r="C130" s="88" t="s">
        <v>275</v>
      </c>
      <c r="D130" s="88"/>
      <c r="E130" s="88"/>
      <c r="F130" s="88"/>
      <c r="G130" s="88"/>
      <c r="H130" s="88"/>
      <c r="I130" s="73"/>
      <c r="J130" s="83"/>
      <c r="K130" s="71"/>
      <c r="L130" s="73"/>
    </row>
    <row r="131" spans="1:12" ht="13.8" hidden="1" x14ac:dyDescent="0.25">
      <c r="A131" s="83"/>
      <c r="B131" s="87"/>
      <c r="C131" s="88" t="s">
        <v>275</v>
      </c>
      <c r="D131" s="88"/>
      <c r="E131" s="88"/>
      <c r="F131" s="88"/>
      <c r="G131" s="88"/>
      <c r="H131" s="88"/>
      <c r="I131" s="73"/>
      <c r="J131" s="83"/>
      <c r="K131" s="71"/>
      <c r="L131" s="73">
        <f>SUM(BQ60:BQ126)</f>
        <v>0</v>
      </c>
    </row>
    <row r="132" spans="1:12" ht="13.8" hidden="1" x14ac:dyDescent="0.25">
      <c r="A132" s="83"/>
      <c r="B132" s="87"/>
      <c r="C132" s="88" t="s">
        <v>276</v>
      </c>
      <c r="D132" s="88"/>
      <c r="E132" s="88"/>
      <c r="F132" s="88"/>
      <c r="G132" s="88"/>
      <c r="H132" s="88"/>
      <c r="I132" s="73"/>
      <c r="J132" s="83"/>
      <c r="K132" s="71"/>
      <c r="L132" s="73">
        <f>SUMIF(CD60:CD126, 4, BB60:BB126)+SUMIF(CD60:CD126, 4, BC60:BC126)+SUMIF(CD60:CD126, 4, BD60:BD126)</f>
        <v>0</v>
      </c>
    </row>
    <row r="133" spans="1:12" ht="13.8" hidden="1" x14ac:dyDescent="0.25">
      <c r="A133" s="83"/>
      <c r="B133" s="87"/>
      <c r="C133" s="88" t="s">
        <v>277</v>
      </c>
      <c r="D133" s="88"/>
      <c r="E133" s="88"/>
      <c r="F133" s="88"/>
      <c r="G133" s="88"/>
      <c r="H133" s="88"/>
      <c r="I133" s="73"/>
      <c r="J133" s="83"/>
      <c r="K133" s="71"/>
      <c r="L133" s="73">
        <f>SUM(BO60:BO126)</f>
        <v>0</v>
      </c>
    </row>
    <row r="134" spans="1:12" ht="13.8" hidden="1" x14ac:dyDescent="0.25">
      <c r="A134" s="83"/>
      <c r="B134" s="87"/>
      <c r="C134" s="88" t="s">
        <v>278</v>
      </c>
      <c r="D134" s="88"/>
      <c r="E134" s="88"/>
      <c r="F134" s="88"/>
      <c r="G134" s="88"/>
      <c r="H134" s="88"/>
      <c r="I134" s="73"/>
      <c r="J134" s="83"/>
      <c r="K134" s="71"/>
      <c r="L134" s="73">
        <f>L136+L151+L152</f>
        <v>0</v>
      </c>
    </row>
    <row r="135" spans="1:12" ht="13.8" hidden="1" x14ac:dyDescent="0.25">
      <c r="A135" s="83"/>
      <c r="B135" s="87"/>
      <c r="C135" s="98" t="s">
        <v>255</v>
      </c>
      <c r="D135" s="88"/>
      <c r="E135" s="88"/>
      <c r="F135" s="88"/>
      <c r="G135" s="88"/>
      <c r="H135" s="88"/>
      <c r="I135" s="73"/>
      <c r="J135" s="83"/>
      <c r="K135" s="71"/>
      <c r="L135" s="73"/>
    </row>
    <row r="136" spans="1:12" ht="13.8" hidden="1" x14ac:dyDescent="0.25">
      <c r="A136" s="83"/>
      <c r="B136" s="87"/>
      <c r="C136" s="88" t="s">
        <v>256</v>
      </c>
      <c r="D136" s="88"/>
      <c r="E136" s="88"/>
      <c r="F136" s="88"/>
      <c r="G136" s="88"/>
      <c r="H136" s="88"/>
      <c r="I136" s="73"/>
      <c r="J136" s="83"/>
      <c r="K136" s="71"/>
      <c r="L136" s="73">
        <f>L138+L139+L145+L149</f>
        <v>0</v>
      </c>
    </row>
    <row r="137" spans="1:12" ht="13.8" hidden="1" x14ac:dyDescent="0.25">
      <c r="A137" s="83"/>
      <c r="B137" s="87"/>
      <c r="C137" s="98" t="s">
        <v>255</v>
      </c>
      <c r="D137" s="88"/>
      <c r="E137" s="88"/>
      <c r="F137" s="88"/>
      <c r="G137" s="88"/>
      <c r="H137" s="88"/>
      <c r="I137" s="73"/>
      <c r="J137" s="83"/>
      <c r="K137" s="71"/>
      <c r="L137" s="73"/>
    </row>
    <row r="138" spans="1:12" ht="13.8" hidden="1" x14ac:dyDescent="0.25">
      <c r="A138" s="83"/>
      <c r="B138" s="87"/>
      <c r="C138" s="88" t="s">
        <v>257</v>
      </c>
      <c r="D138" s="88"/>
      <c r="E138" s="88"/>
      <c r="F138" s="88"/>
      <c r="G138" s="88"/>
      <c r="H138" s="88"/>
      <c r="I138" s="73"/>
      <c r="J138" s="83"/>
      <c r="K138" s="71"/>
      <c r="L138" s="73">
        <f>SUMIF(CD60:CD126, 4, AR60:AR126)</f>
        <v>0</v>
      </c>
    </row>
    <row r="139" spans="1:12" ht="13.8" hidden="1" x14ac:dyDescent="0.25">
      <c r="A139" s="83"/>
      <c r="B139" s="87"/>
      <c r="C139" s="88" t="s">
        <v>258</v>
      </c>
      <c r="D139" s="88"/>
      <c r="E139" s="88"/>
      <c r="F139" s="88"/>
      <c r="G139" s="88"/>
      <c r="H139" s="88"/>
      <c r="I139" s="73"/>
      <c r="J139" s="83"/>
      <c r="K139" s="71"/>
      <c r="L139" s="73">
        <f>L141+L144+L143</f>
        <v>0</v>
      </c>
    </row>
    <row r="140" spans="1:12" ht="13.8" hidden="1" x14ac:dyDescent="0.25">
      <c r="A140" s="83"/>
      <c r="B140" s="87"/>
      <c r="C140" s="98" t="s">
        <v>259</v>
      </c>
      <c r="D140" s="88"/>
      <c r="E140" s="88"/>
      <c r="F140" s="88"/>
      <c r="G140" s="88"/>
      <c r="H140" s="88"/>
      <c r="I140" s="73"/>
      <c r="J140" s="83"/>
      <c r="K140" s="71"/>
      <c r="L140" s="73"/>
    </row>
    <row r="141" spans="1:12" ht="13.8" hidden="1" x14ac:dyDescent="0.25">
      <c r="A141" s="83"/>
      <c r="B141" s="87"/>
      <c r="C141" s="88" t="s">
        <v>258</v>
      </c>
      <c r="D141" s="88"/>
      <c r="E141" s="88"/>
      <c r="F141" s="88"/>
      <c r="G141" s="88"/>
      <c r="H141" s="88"/>
      <c r="I141" s="73"/>
      <c r="J141" s="83"/>
      <c r="K141" s="71"/>
      <c r="L141" s="73">
        <f>SUMIF(CD60:CD126, 4, AO60:AO126)</f>
        <v>0</v>
      </c>
    </row>
    <row r="142" spans="1:12" ht="13.8" hidden="1" x14ac:dyDescent="0.25">
      <c r="A142" s="83"/>
      <c r="B142" s="87"/>
      <c r="C142" s="98" t="s">
        <v>260</v>
      </c>
      <c r="D142" s="88"/>
      <c r="E142" s="88"/>
      <c r="F142" s="88"/>
      <c r="G142" s="88"/>
      <c r="H142" s="88"/>
      <c r="I142" s="73"/>
      <c r="J142" s="83"/>
      <c r="K142" s="71"/>
      <c r="L142" s="73"/>
    </row>
    <row r="143" spans="1:12" ht="13.8" hidden="1" x14ac:dyDescent="0.25">
      <c r="A143" s="83"/>
      <c r="B143" s="87"/>
      <c r="C143" s="88" t="s">
        <v>269</v>
      </c>
      <c r="D143" s="88"/>
      <c r="E143" s="88"/>
      <c r="F143" s="88"/>
      <c r="G143" s="88"/>
      <c r="H143" s="88"/>
      <c r="I143" s="73"/>
      <c r="J143" s="83"/>
      <c r="K143" s="71"/>
      <c r="L143" s="73">
        <f>SUMIF(CD60:CD126, 4, AT60:AT126)</f>
        <v>0</v>
      </c>
    </row>
    <row r="144" spans="1:12" ht="13.8" hidden="1" x14ac:dyDescent="0.25">
      <c r="A144" s="83"/>
      <c r="B144" s="87"/>
      <c r="C144" s="88" t="s">
        <v>261</v>
      </c>
      <c r="D144" s="88"/>
      <c r="E144" s="88"/>
      <c r="F144" s="88"/>
      <c r="G144" s="88"/>
      <c r="H144" s="88"/>
      <c r="I144" s="73"/>
      <c r="J144" s="83"/>
      <c r="K144" s="71"/>
      <c r="L144" s="73">
        <f>SUMIF(CD60:CD126, 4, AV60:AV126)</f>
        <v>0</v>
      </c>
    </row>
    <row r="145" spans="1:12" ht="13.8" hidden="1" x14ac:dyDescent="0.25">
      <c r="A145" s="83"/>
      <c r="B145" s="87"/>
      <c r="C145" s="88" t="s">
        <v>262</v>
      </c>
      <c r="D145" s="88"/>
      <c r="E145" s="88"/>
      <c r="F145" s="88"/>
      <c r="G145" s="88"/>
      <c r="H145" s="88"/>
      <c r="I145" s="73"/>
      <c r="J145" s="83"/>
      <c r="K145" s="71"/>
      <c r="L145" s="73">
        <f>L147+L148</f>
        <v>0</v>
      </c>
    </row>
    <row r="146" spans="1:12" ht="13.8" hidden="1" x14ac:dyDescent="0.25">
      <c r="A146" s="83"/>
      <c r="B146" s="87"/>
      <c r="C146" s="98" t="s">
        <v>259</v>
      </c>
      <c r="D146" s="88"/>
      <c r="E146" s="88"/>
      <c r="F146" s="88"/>
      <c r="G146" s="88"/>
      <c r="H146" s="88"/>
      <c r="I146" s="73"/>
      <c r="J146" s="83"/>
      <c r="K146" s="71"/>
      <c r="L146" s="73"/>
    </row>
    <row r="147" spans="1:12" ht="13.8" hidden="1" x14ac:dyDescent="0.25">
      <c r="A147" s="83"/>
      <c r="B147" s="87"/>
      <c r="C147" s="88" t="s">
        <v>263</v>
      </c>
      <c r="D147" s="88"/>
      <c r="E147" s="88"/>
      <c r="F147" s="88"/>
      <c r="G147" s="88"/>
      <c r="H147" s="88"/>
      <c r="I147" s="73"/>
      <c r="J147" s="83"/>
      <c r="K147" s="71"/>
      <c r="L147" s="73">
        <f>SUMIF(CD60:CD126, 4, AW60:AW126)-SUMIF(CD60:CD126, 4, BK60:BK126)</f>
        <v>0</v>
      </c>
    </row>
    <row r="148" spans="1:12" ht="13.8" hidden="1" x14ac:dyDescent="0.25">
      <c r="A148" s="83"/>
      <c r="B148" s="87"/>
      <c r="C148" s="88" t="s">
        <v>264</v>
      </c>
      <c r="D148" s="88"/>
      <c r="E148" s="88"/>
      <c r="F148" s="88"/>
      <c r="G148" s="88"/>
      <c r="H148" s="88"/>
      <c r="I148" s="73"/>
      <c r="J148" s="83"/>
      <c r="K148" s="71"/>
      <c r="L148" s="73">
        <f>SUMIF(CD60:CD126, 4, BC60:BC126)</f>
        <v>0</v>
      </c>
    </row>
    <row r="149" spans="1:12" ht="13.8" hidden="1" x14ac:dyDescent="0.25">
      <c r="A149" s="83"/>
      <c r="B149" s="87"/>
      <c r="C149" s="88" t="s">
        <v>265</v>
      </c>
      <c r="D149" s="88"/>
      <c r="E149" s="88"/>
      <c r="F149" s="88"/>
      <c r="G149" s="88"/>
      <c r="H149" s="88"/>
      <c r="I149" s="73"/>
      <c r="J149" s="83"/>
      <c r="K149" s="71"/>
      <c r="L149" s="73">
        <f>SUMIF(CD60:CD126, 4, BB60:BB126)</f>
        <v>0</v>
      </c>
    </row>
    <row r="150" spans="1:12" ht="13.8" hidden="1" x14ac:dyDescent="0.25">
      <c r="A150" s="83"/>
      <c r="B150" s="87"/>
      <c r="C150" s="88" t="s">
        <v>266</v>
      </c>
      <c r="D150" s="88"/>
      <c r="E150" s="88"/>
      <c r="F150" s="88"/>
      <c r="G150" s="88"/>
      <c r="H150" s="88"/>
      <c r="I150" s="73"/>
      <c r="J150" s="83"/>
      <c r="K150" s="71"/>
      <c r="L150" s="73">
        <f>SUMIF(CD60:CD126, 4, AR60:AR126)+SUMIF(CD60:CD126, 4, AT60:AT126)+SUMIF(CD60:CD126, 4, AV60:AV126)</f>
        <v>0</v>
      </c>
    </row>
    <row r="151" spans="1:12" ht="13.8" hidden="1" x14ac:dyDescent="0.25">
      <c r="A151" s="83"/>
      <c r="B151" s="87"/>
      <c r="C151" s="88" t="s">
        <v>267</v>
      </c>
      <c r="D151" s="88"/>
      <c r="E151" s="88"/>
      <c r="F151" s="88"/>
      <c r="G151" s="88"/>
      <c r="H151" s="88"/>
      <c r="I151" s="73"/>
      <c r="J151" s="83"/>
      <c r="K151" s="71"/>
      <c r="L151" s="73">
        <f>SUMIF(CD60:CD126, 4, AZ60:AZ126)</f>
        <v>0</v>
      </c>
    </row>
    <row r="152" spans="1:12" ht="13.8" hidden="1" x14ac:dyDescent="0.25">
      <c r="A152" s="83"/>
      <c r="B152" s="87"/>
      <c r="C152" s="88" t="s">
        <v>268</v>
      </c>
      <c r="D152" s="88"/>
      <c r="E152" s="88"/>
      <c r="F152" s="88"/>
      <c r="G152" s="88"/>
      <c r="H152" s="88"/>
      <c r="I152" s="73"/>
      <c r="J152" s="83"/>
      <c r="K152" s="71"/>
      <c r="L152" s="73">
        <f>SUMIF(CD60:CD126, 4, BA60:BA126)</f>
        <v>0</v>
      </c>
    </row>
    <row r="154" spans="1:12" ht="13.8" x14ac:dyDescent="0.25">
      <c r="A154" s="89"/>
      <c r="B154" s="90"/>
      <c r="C154" s="91" t="s">
        <v>279</v>
      </c>
      <c r="D154" s="91"/>
      <c r="E154" s="91"/>
      <c r="F154" s="91"/>
      <c r="G154" s="91"/>
      <c r="H154" s="91"/>
      <c r="I154" s="75"/>
      <c r="J154" s="89"/>
      <c r="K154" s="92"/>
      <c r="L154" s="75">
        <f>L83+L103+L123+L128</f>
        <v>1132.74</v>
      </c>
    </row>
    <row r="155" spans="1:12" ht="13.8" x14ac:dyDescent="0.25">
      <c r="A155" s="83"/>
      <c r="B155" s="87"/>
      <c r="C155" s="98" t="s">
        <v>255</v>
      </c>
      <c r="D155" s="88"/>
      <c r="E155" s="88"/>
      <c r="F155" s="88"/>
      <c r="G155" s="88"/>
      <c r="H155" s="88"/>
      <c r="I155" s="73"/>
      <c r="J155" s="83"/>
      <c r="K155" s="71"/>
      <c r="L155" s="73"/>
    </row>
    <row r="156" spans="1:12" ht="13.8" x14ac:dyDescent="0.25">
      <c r="A156" s="83"/>
      <c r="B156" s="87"/>
      <c r="C156" s="88" t="s">
        <v>256</v>
      </c>
      <c r="D156" s="88"/>
      <c r="E156" s="88"/>
      <c r="F156" s="88"/>
      <c r="G156" s="88"/>
      <c r="H156" s="88"/>
      <c r="I156" s="73"/>
      <c r="J156" s="83"/>
      <c r="K156" s="71"/>
      <c r="L156" s="73">
        <f>L158+L159+L165+L169</f>
        <v>785.72</v>
      </c>
    </row>
    <row r="157" spans="1:12" ht="13.8" x14ac:dyDescent="0.25">
      <c r="A157" s="83"/>
      <c r="B157" s="87"/>
      <c r="C157" s="98" t="s">
        <v>255</v>
      </c>
      <c r="D157" s="88"/>
      <c r="E157" s="88"/>
      <c r="F157" s="88"/>
      <c r="G157" s="88"/>
      <c r="H157" s="88"/>
      <c r="I157" s="73"/>
      <c r="J157" s="83"/>
      <c r="K157" s="71"/>
      <c r="L157" s="73"/>
    </row>
    <row r="158" spans="1:12" ht="13.8" x14ac:dyDescent="0.25">
      <c r="A158" s="83"/>
      <c r="B158" s="87"/>
      <c r="C158" s="88" t="s">
        <v>257</v>
      </c>
      <c r="D158" s="88"/>
      <c r="E158" s="88"/>
      <c r="F158" s="88"/>
      <c r="G158" s="88"/>
      <c r="H158" s="88"/>
      <c r="I158" s="73"/>
      <c r="J158" s="83"/>
      <c r="K158" s="71"/>
      <c r="L158" s="73">
        <f>SUM(AR60:AR152)</f>
        <v>160.82</v>
      </c>
    </row>
    <row r="159" spans="1:12" ht="13.8" hidden="1" x14ac:dyDescent="0.25">
      <c r="A159" s="83"/>
      <c r="B159" s="87"/>
      <c r="C159" s="88" t="s">
        <v>258</v>
      </c>
      <c r="D159" s="88"/>
      <c r="E159" s="88"/>
      <c r="F159" s="88"/>
      <c r="G159" s="88"/>
      <c r="H159" s="88"/>
      <c r="I159" s="73"/>
      <c r="J159" s="83"/>
      <c r="K159" s="71"/>
      <c r="L159" s="73">
        <f>L161+L164+L163</f>
        <v>261.01</v>
      </c>
    </row>
    <row r="160" spans="1:12" ht="13.8" hidden="1" x14ac:dyDescent="0.25">
      <c r="A160" s="83"/>
      <c r="B160" s="87"/>
      <c r="C160" s="98" t="s">
        <v>259</v>
      </c>
      <c r="D160" s="88"/>
      <c r="E160" s="88"/>
      <c r="F160" s="88"/>
      <c r="G160" s="88"/>
      <c r="H160" s="88"/>
      <c r="I160" s="73"/>
      <c r="J160" s="83"/>
      <c r="K160" s="71"/>
      <c r="L160" s="73"/>
    </row>
    <row r="161" spans="1:12" ht="13.8" x14ac:dyDescent="0.25">
      <c r="A161" s="83"/>
      <c r="B161" s="87"/>
      <c r="C161" s="88" t="s">
        <v>258</v>
      </c>
      <c r="D161" s="88"/>
      <c r="E161" s="88"/>
      <c r="F161" s="88"/>
      <c r="G161" s="88"/>
      <c r="H161" s="88"/>
      <c r="I161" s="73"/>
      <c r="J161" s="83"/>
      <c r="K161" s="71"/>
      <c r="L161" s="73">
        <f>SUM(AO60:AO152)</f>
        <v>180.83999999999997</v>
      </c>
    </row>
    <row r="162" spans="1:12" ht="13.8" hidden="1" x14ac:dyDescent="0.25">
      <c r="A162" s="83"/>
      <c r="B162" s="87"/>
      <c r="C162" s="98" t="s">
        <v>260</v>
      </c>
      <c r="D162" s="88"/>
      <c r="E162" s="88"/>
      <c r="F162" s="88"/>
      <c r="G162" s="88"/>
      <c r="H162" s="88"/>
      <c r="I162" s="73"/>
      <c r="J162" s="83"/>
      <c r="K162" s="71"/>
      <c r="L162" s="73"/>
    </row>
    <row r="163" spans="1:12" ht="13.8" x14ac:dyDescent="0.25">
      <c r="A163" s="83"/>
      <c r="B163" s="87"/>
      <c r="C163" s="88" t="s">
        <v>269</v>
      </c>
      <c r="D163" s="88"/>
      <c r="E163" s="88"/>
      <c r="F163" s="88"/>
      <c r="G163" s="88"/>
      <c r="H163" s="88"/>
      <c r="I163" s="73"/>
      <c r="J163" s="83"/>
      <c r="K163" s="71"/>
      <c r="L163" s="73">
        <f>SUM(AT60:AT152)</f>
        <v>80.17</v>
      </c>
    </row>
    <row r="164" spans="1:12" ht="13.8" hidden="1" x14ac:dyDescent="0.25">
      <c r="A164" s="83"/>
      <c r="B164" s="87"/>
      <c r="C164" s="88" t="s">
        <v>261</v>
      </c>
      <c r="D164" s="88"/>
      <c r="E164" s="88"/>
      <c r="F164" s="88"/>
      <c r="G164" s="88"/>
      <c r="H164" s="88"/>
      <c r="I164" s="73"/>
      <c r="J164" s="83"/>
      <c r="K164" s="71"/>
      <c r="L164" s="73">
        <f>SUM(AV60:AV152)</f>
        <v>0</v>
      </c>
    </row>
    <row r="165" spans="1:12" ht="13.8" x14ac:dyDescent="0.25">
      <c r="A165" s="83"/>
      <c r="B165" s="87"/>
      <c r="C165" s="88" t="s">
        <v>262</v>
      </c>
      <c r="D165" s="88"/>
      <c r="E165" s="88"/>
      <c r="F165" s="88"/>
      <c r="G165" s="88"/>
      <c r="H165" s="88"/>
      <c r="I165" s="73"/>
      <c r="J165" s="83"/>
      <c r="K165" s="71"/>
      <c r="L165" s="73">
        <f>L167+L168</f>
        <v>363.89</v>
      </c>
    </row>
    <row r="166" spans="1:12" ht="13.8" x14ac:dyDescent="0.25">
      <c r="A166" s="83"/>
      <c r="B166" s="87"/>
      <c r="C166" s="98" t="s">
        <v>259</v>
      </c>
      <c r="D166" s="88"/>
      <c r="E166" s="88"/>
      <c r="F166" s="88"/>
      <c r="G166" s="88"/>
      <c r="H166" s="88"/>
      <c r="I166" s="73"/>
      <c r="J166" s="83"/>
      <c r="K166" s="71"/>
      <c r="L166" s="73"/>
    </row>
    <row r="167" spans="1:12" ht="13.8" x14ac:dyDescent="0.25">
      <c r="A167" s="83"/>
      <c r="B167" s="87"/>
      <c r="C167" s="88" t="s">
        <v>263</v>
      </c>
      <c r="D167" s="88"/>
      <c r="E167" s="88"/>
      <c r="F167" s="88"/>
      <c r="G167" s="88"/>
      <c r="H167" s="88"/>
      <c r="I167" s="73"/>
      <c r="J167" s="83"/>
      <c r="K167" s="71"/>
      <c r="L167" s="73">
        <f>SUM(AW60:AW152)-SUM(BK60:BK152)</f>
        <v>363.89</v>
      </c>
    </row>
    <row r="168" spans="1:12" ht="13.8" hidden="1" x14ac:dyDescent="0.25">
      <c r="A168" s="83"/>
      <c r="B168" s="87"/>
      <c r="C168" s="88" t="s">
        <v>264</v>
      </c>
      <c r="D168" s="88"/>
      <c r="E168" s="88"/>
      <c r="F168" s="88"/>
      <c r="G168" s="88"/>
      <c r="H168" s="88"/>
      <c r="I168" s="73"/>
      <c r="J168" s="83"/>
      <c r="K168" s="71"/>
      <c r="L168" s="73">
        <f>SUM(BC60:BC152)</f>
        <v>0</v>
      </c>
    </row>
    <row r="169" spans="1:12" ht="13.8" hidden="1" x14ac:dyDescent="0.25">
      <c r="A169" s="83"/>
      <c r="B169" s="87"/>
      <c r="C169" s="88" t="s">
        <v>265</v>
      </c>
      <c r="D169" s="88"/>
      <c r="E169" s="88"/>
      <c r="F169" s="88"/>
      <c r="G169" s="88"/>
      <c r="H169" s="88"/>
      <c r="I169" s="73"/>
      <c r="J169" s="83"/>
      <c r="K169" s="71"/>
      <c r="L169" s="73">
        <f>SUM(BB60:BB152)</f>
        <v>0</v>
      </c>
    </row>
    <row r="170" spans="1:12" ht="13.8" x14ac:dyDescent="0.25">
      <c r="A170" s="83"/>
      <c r="B170" s="87"/>
      <c r="C170" s="88" t="s">
        <v>280</v>
      </c>
      <c r="D170" s="88"/>
      <c r="E170" s="88"/>
      <c r="F170" s="88"/>
      <c r="G170" s="88"/>
      <c r="H170" s="88"/>
      <c r="I170" s="73"/>
      <c r="J170" s="83"/>
      <c r="K170" s="71"/>
      <c r="L170" s="73">
        <f>SUM(AR60:AR152)+SUM(AT60:AT152)+SUM(AV60:AV152)</f>
        <v>240.99</v>
      </c>
    </row>
    <row r="171" spans="1:12" ht="13.8" x14ac:dyDescent="0.25">
      <c r="A171" s="83"/>
      <c r="B171" s="87"/>
      <c r="C171" s="88" t="s">
        <v>281</v>
      </c>
      <c r="D171" s="88"/>
      <c r="E171" s="88"/>
      <c r="F171" s="88"/>
      <c r="G171" s="88"/>
      <c r="H171" s="88"/>
      <c r="I171" s="73"/>
      <c r="J171" s="83"/>
      <c r="K171" s="71"/>
      <c r="L171" s="73">
        <f>SUM(AZ60:AZ152)</f>
        <v>221.71</v>
      </c>
    </row>
    <row r="172" spans="1:12" ht="13.8" x14ac:dyDescent="0.25">
      <c r="A172" s="83"/>
      <c r="B172" s="87"/>
      <c r="C172" s="88" t="s">
        <v>282</v>
      </c>
      <c r="D172" s="88"/>
      <c r="E172" s="88"/>
      <c r="F172" s="88"/>
      <c r="G172" s="88"/>
      <c r="H172" s="88"/>
      <c r="I172" s="73"/>
      <c r="J172" s="83"/>
      <c r="K172" s="71"/>
      <c r="L172" s="73">
        <f>SUM(BA60:BA152)</f>
        <v>125.31</v>
      </c>
    </row>
    <row r="173" spans="1:12" ht="13.8" hidden="1" x14ac:dyDescent="0.25">
      <c r="A173" s="83"/>
      <c r="B173" s="87"/>
      <c r="C173" s="88" t="s">
        <v>283</v>
      </c>
      <c r="D173" s="88"/>
      <c r="E173" s="88"/>
      <c r="F173" s="88"/>
      <c r="G173" s="88"/>
      <c r="H173" s="88"/>
      <c r="I173" s="73"/>
      <c r="J173" s="83"/>
      <c r="K173" s="71"/>
      <c r="L173" s="73">
        <f>L175+L176</f>
        <v>0</v>
      </c>
    </row>
    <row r="174" spans="1:12" ht="13.8" hidden="1" x14ac:dyDescent="0.25">
      <c r="A174" s="83"/>
      <c r="B174" s="87"/>
      <c r="C174" s="98" t="s">
        <v>255</v>
      </c>
      <c r="D174" s="88"/>
      <c r="E174" s="88"/>
      <c r="F174" s="88"/>
      <c r="G174" s="88"/>
      <c r="H174" s="88"/>
      <c r="I174" s="73"/>
      <c r="J174" s="83"/>
      <c r="K174" s="71"/>
      <c r="L174" s="73"/>
    </row>
    <row r="175" spans="1:12" ht="13.8" hidden="1" x14ac:dyDescent="0.25">
      <c r="A175" s="83"/>
      <c r="B175" s="87"/>
      <c r="C175" s="88" t="s">
        <v>272</v>
      </c>
      <c r="D175" s="88"/>
      <c r="E175" s="88"/>
      <c r="F175" s="88"/>
      <c r="G175" s="88"/>
      <c r="H175" s="88"/>
      <c r="I175" s="73"/>
      <c r="J175" s="83"/>
      <c r="K175" s="71"/>
      <c r="L175" s="73">
        <f>SUM(BK60:BK152)</f>
        <v>0</v>
      </c>
    </row>
    <row r="176" spans="1:12" ht="13.8" hidden="1" x14ac:dyDescent="0.25">
      <c r="A176" s="83"/>
      <c r="B176" s="87"/>
      <c r="C176" s="88" t="s">
        <v>273</v>
      </c>
      <c r="D176" s="88"/>
      <c r="E176" s="88"/>
      <c r="F176" s="88"/>
      <c r="G176" s="88"/>
      <c r="H176" s="88"/>
      <c r="I176" s="73"/>
      <c r="J176" s="83"/>
      <c r="K176" s="71"/>
      <c r="L176" s="73">
        <f>SUM(BD60:BD152)</f>
        <v>0</v>
      </c>
    </row>
    <row r="177" spans="1:12" ht="13.8" hidden="1" x14ac:dyDescent="0.25">
      <c r="A177" s="83"/>
      <c r="B177" s="87"/>
      <c r="C177" s="88" t="s">
        <v>284</v>
      </c>
      <c r="D177" s="88"/>
      <c r="E177" s="88"/>
      <c r="F177" s="88"/>
      <c r="G177" s="88"/>
      <c r="H177" s="88"/>
      <c r="I177" s="73"/>
      <c r="J177" s="83"/>
      <c r="K177" s="71"/>
      <c r="L177" s="73">
        <f>L128</f>
        <v>0</v>
      </c>
    </row>
    <row r="178" spans="1:12" ht="13.8" x14ac:dyDescent="0.25">
      <c r="A178" s="83"/>
      <c r="B178" s="87"/>
      <c r="C178" s="91" t="s">
        <v>285</v>
      </c>
      <c r="D178" s="88"/>
      <c r="E178" s="88"/>
      <c r="F178" s="88"/>
      <c r="G178" s="88"/>
      <c r="H178" s="88"/>
      <c r="I178" s="73"/>
      <c r="J178" s="83"/>
      <c r="K178" s="71"/>
      <c r="L178" s="73"/>
    </row>
    <row r="179" spans="1:12" ht="13.8" hidden="1" x14ac:dyDescent="0.25">
      <c r="A179" s="83"/>
      <c r="B179" s="87"/>
      <c r="C179" s="88" t="s">
        <v>286</v>
      </c>
      <c r="D179" s="88"/>
      <c r="E179" s="88"/>
      <c r="F179" s="88"/>
      <c r="G179" s="88"/>
      <c r="H179" s="88"/>
      <c r="I179" s="73"/>
      <c r="J179" s="83"/>
      <c r="K179" s="71"/>
      <c r="L179" s="73">
        <f>SUM(AX60:AX152)</f>
        <v>0</v>
      </c>
    </row>
    <row r="180" spans="1:12" ht="13.8" hidden="1" x14ac:dyDescent="0.25">
      <c r="A180" s="83"/>
      <c r="B180" s="87"/>
      <c r="C180" s="88" t="s">
        <v>287</v>
      </c>
      <c r="D180" s="88"/>
      <c r="E180" s="88"/>
      <c r="F180" s="88"/>
      <c r="G180" s="88"/>
      <c r="H180" s="88"/>
      <c r="I180" s="73"/>
      <c r="J180" s="83"/>
      <c r="K180" s="71"/>
      <c r="L180" s="73">
        <f>SUM(AY60:AY152)</f>
        <v>0</v>
      </c>
    </row>
    <row r="181" spans="1:12" ht="13.8" x14ac:dyDescent="0.25">
      <c r="A181" s="83"/>
      <c r="B181" s="87"/>
      <c r="C181" s="88" t="s">
        <v>288</v>
      </c>
      <c r="D181" s="88"/>
      <c r="E181" s="88"/>
      <c r="F181" s="99"/>
      <c r="G181" s="74">
        <f>Source!F50</f>
        <v>0.29360000000000003</v>
      </c>
      <c r="H181" s="83"/>
      <c r="I181" s="83"/>
      <c r="J181" s="83"/>
      <c r="K181" s="83"/>
      <c r="L181" s="83"/>
    </row>
    <row r="182" spans="1:12" ht="13.8" x14ac:dyDescent="0.25">
      <c r="A182" s="83"/>
      <c r="B182" s="87"/>
      <c r="C182" s="88" t="s">
        <v>289</v>
      </c>
      <c r="D182" s="88"/>
      <c r="E182" s="88"/>
      <c r="F182" s="99"/>
      <c r="G182" s="74">
        <f>Source!F51</f>
        <v>0.1182</v>
      </c>
      <c r="H182" s="83"/>
      <c r="I182" s="83"/>
      <c r="J182" s="83"/>
      <c r="K182" s="83"/>
      <c r="L182" s="83"/>
    </row>
    <row r="183" spans="1:12" ht="13.8" x14ac:dyDescent="0.25">
      <c r="A183" s="83"/>
      <c r="B183" s="87"/>
      <c r="C183" s="69"/>
      <c r="D183" s="69"/>
      <c r="E183" s="69"/>
      <c r="F183" s="72"/>
      <c r="G183" s="74"/>
      <c r="H183" s="83"/>
      <c r="I183" s="83"/>
      <c r="J183" s="83"/>
      <c r="K183" s="83"/>
      <c r="L183" s="83"/>
    </row>
    <row r="184" spans="1:12" s="114" customFormat="1" ht="15.6" x14ac:dyDescent="0.3">
      <c r="A184" s="110"/>
      <c r="B184" s="111"/>
      <c r="C184" s="111" t="s">
        <v>93</v>
      </c>
      <c r="D184" s="111"/>
      <c r="E184" s="111"/>
      <c r="F184" s="112"/>
      <c r="G184" s="113"/>
      <c r="H184" s="110"/>
      <c r="I184" s="110"/>
      <c r="J184" s="110"/>
      <c r="K184" s="110"/>
      <c r="L184" s="116">
        <f>L154*0.22</f>
        <v>249.2028</v>
      </c>
    </row>
    <row r="185" spans="1:12" s="114" customFormat="1" ht="15.6" x14ac:dyDescent="0.3">
      <c r="A185" s="110"/>
      <c r="B185" s="111"/>
      <c r="C185" s="111" t="s">
        <v>95</v>
      </c>
      <c r="D185" s="111"/>
      <c r="E185" s="111"/>
      <c r="F185" s="112"/>
      <c r="G185" s="113"/>
      <c r="H185" s="110"/>
      <c r="I185" s="110"/>
      <c r="J185" s="110"/>
      <c r="K185" s="110"/>
      <c r="L185" s="115">
        <f>L154+L184</f>
        <v>1381.9428</v>
      </c>
    </row>
    <row r="189" spans="1:12" ht="13.8" customHeight="1" x14ac:dyDescent="0.25">
      <c r="A189" s="105"/>
      <c r="B189" s="106" t="s">
        <v>290</v>
      </c>
      <c r="C189" s="107" t="s">
        <v>292</v>
      </c>
      <c r="D189" s="48"/>
      <c r="E189" s="48"/>
      <c r="F189" s="117" t="s">
        <v>293</v>
      </c>
      <c r="G189" s="117"/>
      <c r="H189" s="19" t="str">
        <f>IF(Source!AB12&lt;&gt;"", Source!AB12," ")</f>
        <v xml:space="preserve"> </v>
      </c>
      <c r="I189" s="36"/>
      <c r="J189" s="36"/>
      <c r="K189" s="64"/>
      <c r="L189" s="64"/>
    </row>
    <row r="190" spans="1:12" ht="13.8" customHeight="1" x14ac:dyDescent="0.25">
      <c r="A190" s="105"/>
      <c r="B190" s="108"/>
      <c r="C190" s="109" t="s">
        <v>291</v>
      </c>
      <c r="D190" s="109"/>
      <c r="E190" s="109"/>
      <c r="F190" s="109"/>
      <c r="G190" s="109"/>
      <c r="H190" s="36"/>
      <c r="I190" s="36"/>
      <c r="J190" s="36"/>
      <c r="K190" s="64"/>
      <c r="L190" s="64"/>
    </row>
    <row r="191" spans="1:12" ht="13.8" customHeight="1" x14ac:dyDescent="0.25">
      <c r="A191" s="105"/>
      <c r="B191" s="108"/>
      <c r="C191" s="17"/>
      <c r="D191" s="17"/>
      <c r="E191" s="17"/>
      <c r="F191" s="17"/>
      <c r="G191" s="17"/>
      <c r="H191" s="36"/>
      <c r="I191" s="36"/>
      <c r="J191" s="36"/>
      <c r="K191" s="64"/>
      <c r="L191" s="64"/>
    </row>
  </sheetData>
  <mergeCells count="149">
    <mergeCell ref="C182:F182"/>
    <mergeCell ref="C190:G190"/>
    <mergeCell ref="F189:G189"/>
    <mergeCell ref="C176:H176"/>
    <mergeCell ref="C177:H177"/>
    <mergeCell ref="C178:H178"/>
    <mergeCell ref="C179:H179"/>
    <mergeCell ref="C180:H180"/>
    <mergeCell ref="C181:F181"/>
    <mergeCell ref="C170:H170"/>
    <mergeCell ref="C171:H171"/>
    <mergeCell ref="C172:H172"/>
    <mergeCell ref="C173:H173"/>
    <mergeCell ref="C174:H174"/>
    <mergeCell ref="C175:H175"/>
    <mergeCell ref="C164:H164"/>
    <mergeCell ref="C165:H165"/>
    <mergeCell ref="C166:H166"/>
    <mergeCell ref="C167:H167"/>
    <mergeCell ref="C168:H168"/>
    <mergeCell ref="C169:H169"/>
    <mergeCell ref="C158:H158"/>
    <mergeCell ref="C159:H159"/>
    <mergeCell ref="C160:H160"/>
    <mergeCell ref="C161:H161"/>
    <mergeCell ref="C162:H162"/>
    <mergeCell ref="C163:H163"/>
    <mergeCell ref="C151:H151"/>
    <mergeCell ref="C152:H152"/>
    <mergeCell ref="C154:H154"/>
    <mergeCell ref="C155:H155"/>
    <mergeCell ref="C156:H156"/>
    <mergeCell ref="C157:H157"/>
    <mergeCell ref="C145:H145"/>
    <mergeCell ref="C146:H146"/>
    <mergeCell ref="C147:H147"/>
    <mergeCell ref="C148:H148"/>
    <mergeCell ref="C149:H149"/>
    <mergeCell ref="C150:H150"/>
    <mergeCell ref="C139:H139"/>
    <mergeCell ref="C140:H140"/>
    <mergeCell ref="C141:H141"/>
    <mergeCell ref="C142:H142"/>
    <mergeCell ref="C143:H143"/>
    <mergeCell ref="C144:H144"/>
    <mergeCell ref="C133:H133"/>
    <mergeCell ref="C134:H134"/>
    <mergeCell ref="C135:H135"/>
    <mergeCell ref="C136:H136"/>
    <mergeCell ref="C137:H137"/>
    <mergeCell ref="C138:H138"/>
    <mergeCell ref="C126:H126"/>
    <mergeCell ref="C128:H128"/>
    <mergeCell ref="C129:H129"/>
    <mergeCell ref="C130:H130"/>
    <mergeCell ref="C131:H131"/>
    <mergeCell ref="C132:H132"/>
    <mergeCell ref="C119:H119"/>
    <mergeCell ref="C120:H120"/>
    <mergeCell ref="C121:H121"/>
    <mergeCell ref="C123:H123"/>
    <mergeCell ref="C124:H124"/>
    <mergeCell ref="C125:H125"/>
    <mergeCell ref="C113:H113"/>
    <mergeCell ref="C114:H114"/>
    <mergeCell ref="C115:H115"/>
    <mergeCell ref="C116:H116"/>
    <mergeCell ref="C117:H117"/>
    <mergeCell ref="C118:H118"/>
    <mergeCell ref="C107:H107"/>
    <mergeCell ref="C108:H108"/>
    <mergeCell ref="C109:H109"/>
    <mergeCell ref="C110:H110"/>
    <mergeCell ref="C111:H111"/>
    <mergeCell ref="C112:H112"/>
    <mergeCell ref="C100:H100"/>
    <mergeCell ref="C101:H101"/>
    <mergeCell ref="C103:H103"/>
    <mergeCell ref="C104:H104"/>
    <mergeCell ref="C105:H105"/>
    <mergeCell ref="C106:H106"/>
    <mergeCell ref="C94:H94"/>
    <mergeCell ref="C95:H95"/>
    <mergeCell ref="C96:H96"/>
    <mergeCell ref="C97:H97"/>
    <mergeCell ref="C98:H98"/>
    <mergeCell ref="C99:H99"/>
    <mergeCell ref="C88:H88"/>
    <mergeCell ref="C89:H89"/>
    <mergeCell ref="C90:H90"/>
    <mergeCell ref="C91:H91"/>
    <mergeCell ref="C92:H92"/>
    <mergeCell ref="C93:H93"/>
    <mergeCell ref="C81:H81"/>
    <mergeCell ref="C83:H83"/>
    <mergeCell ref="C84:H84"/>
    <mergeCell ref="C85:H85"/>
    <mergeCell ref="C86:H86"/>
    <mergeCell ref="C87:H87"/>
    <mergeCell ref="E54:G57"/>
    <mergeCell ref="H54:L57"/>
    <mergeCell ref="C77:H77"/>
    <mergeCell ref="I77:J77"/>
    <mergeCell ref="K77:L77"/>
    <mergeCell ref="C79:H79"/>
    <mergeCell ref="I79:J79"/>
    <mergeCell ref="K79:L79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</mergeCells>
  <pageMargins left="0.4" right="0.2" top="0.2" bottom="0.4" header="0.2" footer="0.2"/>
  <pageSetup paperSize="9" scale="48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3"/>
  <sheetViews>
    <sheetView workbookViewId="0">
      <selection activeCell="A119" sqref="A119:AX119"/>
    </sheetView>
  </sheetViews>
  <sheetFormatPr defaultColWidth="9.109375" defaultRowHeight="13.2" x14ac:dyDescent="0.25"/>
  <cols>
    <col min="1" max="256" width="9.109375" customWidth="1"/>
  </cols>
  <sheetData>
    <row r="1" spans="1:133" x14ac:dyDescent="0.25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0</v>
      </c>
      <c r="L1">
        <v>22013</v>
      </c>
      <c r="M1">
        <v>10</v>
      </c>
      <c r="N1">
        <v>12</v>
      </c>
      <c r="O1">
        <v>1</v>
      </c>
      <c r="P1">
        <v>0</v>
      </c>
      <c r="Q1">
        <v>1</v>
      </c>
    </row>
    <row r="12" spans="1:133" x14ac:dyDescent="0.25">
      <c r="A12" s="1">
        <v>1</v>
      </c>
      <c r="B12" s="1">
        <v>117</v>
      </c>
      <c r="C12" s="1">
        <v>0</v>
      </c>
      <c r="D12" s="1">
        <f>ROW(A58)</f>
        <v>58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45695</v>
      </c>
      <c r="CT12" s="1">
        <v>508</v>
      </c>
      <c r="CU12" s="1">
        <v>13</v>
      </c>
      <c r="CV12" s="1" t="s">
        <v>192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5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5">
      <c r="A18" s="3">
        <v>52</v>
      </c>
      <c r="B18" s="3">
        <f t="shared" ref="B18:G18" si="0">B58</f>
        <v>117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Текущий ремонт межпанельных швов на 1 мп</v>
      </c>
      <c r="H18" s="3"/>
      <c r="I18" s="3"/>
      <c r="J18" s="3"/>
      <c r="K18" s="3"/>
      <c r="L18" s="3"/>
      <c r="M18" s="3"/>
      <c r="N18" s="3"/>
      <c r="O18" s="3">
        <f t="shared" ref="O18:AT18" si="1">O58</f>
        <v>785.72</v>
      </c>
      <c r="P18" s="3">
        <f t="shared" si="1"/>
        <v>363.89</v>
      </c>
      <c r="Q18" s="3">
        <f t="shared" si="1"/>
        <v>180.84</v>
      </c>
      <c r="R18" s="3">
        <f t="shared" si="1"/>
        <v>80.17</v>
      </c>
      <c r="S18" s="3">
        <f t="shared" si="1"/>
        <v>160.82</v>
      </c>
      <c r="T18" s="3">
        <f t="shared" si="1"/>
        <v>0</v>
      </c>
      <c r="U18" s="3">
        <f t="shared" si="1"/>
        <v>0.29360000000000003</v>
      </c>
      <c r="V18" s="3">
        <f t="shared" si="1"/>
        <v>0.1182</v>
      </c>
      <c r="W18" s="3">
        <f t="shared" si="1"/>
        <v>0</v>
      </c>
      <c r="X18" s="3">
        <f t="shared" si="1"/>
        <v>221.71</v>
      </c>
      <c r="Y18" s="3">
        <f t="shared" si="1"/>
        <v>125.31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1132.74</v>
      </c>
      <c r="AS18" s="3">
        <f t="shared" si="1"/>
        <v>1132.74</v>
      </c>
      <c r="AT18" s="3">
        <f t="shared" si="1"/>
        <v>0</v>
      </c>
      <c r="AU18" s="3">
        <f t="shared" ref="AU18:BZ18" si="2">AU58</f>
        <v>0</v>
      </c>
      <c r="AV18" s="3">
        <f t="shared" si="2"/>
        <v>363.89</v>
      </c>
      <c r="AW18" s="3">
        <f t="shared" si="2"/>
        <v>363.89</v>
      </c>
      <c r="AX18" s="3">
        <f t="shared" si="2"/>
        <v>0</v>
      </c>
      <c r="AY18" s="3">
        <f t="shared" si="2"/>
        <v>363.89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CA58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DG58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EM58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FS58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5">
      <c r="A20" s="1">
        <v>3</v>
      </c>
      <c r="B20" s="1">
        <v>1</v>
      </c>
      <c r="C20" s="1"/>
      <c r="D20" s="1">
        <f>ROW(A28)</f>
        <v>28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5">
      <c r="A22" s="3">
        <v>52</v>
      </c>
      <c r="B22" s="3">
        <f t="shared" ref="B22:G22" si="7">B28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O28</f>
        <v>785.72</v>
      </c>
      <c r="P22" s="3">
        <f t="shared" si="8"/>
        <v>363.89</v>
      </c>
      <c r="Q22" s="3">
        <f t="shared" si="8"/>
        <v>180.84</v>
      </c>
      <c r="R22" s="3">
        <f t="shared" si="8"/>
        <v>80.17</v>
      </c>
      <c r="S22" s="3">
        <f t="shared" si="8"/>
        <v>160.82</v>
      </c>
      <c r="T22" s="3">
        <f t="shared" si="8"/>
        <v>0</v>
      </c>
      <c r="U22" s="3">
        <f t="shared" si="8"/>
        <v>0.29360000000000003</v>
      </c>
      <c r="V22" s="3">
        <f t="shared" si="8"/>
        <v>0.1182</v>
      </c>
      <c r="W22" s="3">
        <f t="shared" si="8"/>
        <v>0</v>
      </c>
      <c r="X22" s="3">
        <f t="shared" si="8"/>
        <v>221.71</v>
      </c>
      <c r="Y22" s="3">
        <f t="shared" si="8"/>
        <v>125.31</v>
      </c>
      <c r="Z22" s="3">
        <f t="shared" si="8"/>
        <v>0</v>
      </c>
      <c r="AA22" s="3">
        <f t="shared" si="8"/>
        <v>0</v>
      </c>
      <c r="AB22" s="3">
        <f t="shared" si="8"/>
        <v>785.72</v>
      </c>
      <c r="AC22" s="3">
        <f t="shared" si="8"/>
        <v>363.89</v>
      </c>
      <c r="AD22" s="3">
        <f t="shared" si="8"/>
        <v>180.84</v>
      </c>
      <c r="AE22" s="3">
        <f t="shared" si="8"/>
        <v>80.17</v>
      </c>
      <c r="AF22" s="3">
        <f t="shared" si="8"/>
        <v>160.82</v>
      </c>
      <c r="AG22" s="3">
        <f t="shared" si="8"/>
        <v>0</v>
      </c>
      <c r="AH22" s="3">
        <f t="shared" si="8"/>
        <v>0.29360000000000003</v>
      </c>
      <c r="AI22" s="3">
        <f t="shared" si="8"/>
        <v>0.1182</v>
      </c>
      <c r="AJ22" s="3">
        <f t="shared" si="8"/>
        <v>0</v>
      </c>
      <c r="AK22" s="3">
        <f t="shared" si="8"/>
        <v>221.71</v>
      </c>
      <c r="AL22" s="3">
        <f t="shared" si="8"/>
        <v>125.31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1132.74</v>
      </c>
      <c r="AS22" s="3">
        <f t="shared" si="8"/>
        <v>1132.74</v>
      </c>
      <c r="AT22" s="3">
        <f t="shared" si="8"/>
        <v>0</v>
      </c>
      <c r="AU22" s="3">
        <f t="shared" ref="AU22:BZ22" si="9">AU28</f>
        <v>0</v>
      </c>
      <c r="AV22" s="3">
        <f t="shared" si="9"/>
        <v>363.89</v>
      </c>
      <c r="AW22" s="3">
        <f t="shared" si="9"/>
        <v>363.89</v>
      </c>
      <c r="AX22" s="3">
        <f t="shared" si="9"/>
        <v>0</v>
      </c>
      <c r="AY22" s="3">
        <f t="shared" si="9"/>
        <v>363.89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CA28</f>
        <v>1132.74</v>
      </c>
      <c r="CB22" s="3">
        <f t="shared" si="10"/>
        <v>1132.74</v>
      </c>
      <c r="CC22" s="3">
        <f t="shared" si="10"/>
        <v>0</v>
      </c>
      <c r="CD22" s="3">
        <f t="shared" si="10"/>
        <v>0</v>
      </c>
      <c r="CE22" s="3">
        <f t="shared" si="10"/>
        <v>363.89</v>
      </c>
      <c r="CF22" s="3">
        <f t="shared" si="10"/>
        <v>363.89</v>
      </c>
      <c r="CG22" s="3">
        <f t="shared" si="10"/>
        <v>0</v>
      </c>
      <c r="CH22" s="3">
        <f t="shared" si="10"/>
        <v>363.89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DG28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EM28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FS28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5">
      <c r="A24" s="2">
        <v>17</v>
      </c>
      <c r="B24" s="2">
        <v>1</v>
      </c>
      <c r="C24" s="2">
        <f>ROW(SmtRes!A6)</f>
        <v>6</v>
      </c>
      <c r="D24" s="2">
        <f>ROW(EtalonRes!A6)</f>
        <v>6</v>
      </c>
      <c r="E24" s="2" t="s">
        <v>15</v>
      </c>
      <c r="F24" s="2" t="s">
        <v>16</v>
      </c>
      <c r="G24" s="2" t="s">
        <v>17</v>
      </c>
      <c r="H24" s="2" t="s">
        <v>18</v>
      </c>
      <c r="I24" s="2">
        <f>ROUND(1/100,7)</f>
        <v>0.01</v>
      </c>
      <c r="J24" s="2">
        <v>0</v>
      </c>
      <c r="K24" s="2">
        <f>ROUND(1/100,7)</f>
        <v>0.01</v>
      </c>
      <c r="L24" s="2"/>
      <c r="M24" s="2"/>
      <c r="N24" s="2"/>
      <c r="O24" s="2">
        <f>ROUND(CP24,2)</f>
        <v>421.83</v>
      </c>
      <c r="P24" s="2">
        <f>SUMIF(SmtRes!AQ1:'SmtRes'!AQ6,"=1",SmtRes!DF1:'SmtRes'!DF6)</f>
        <v>0</v>
      </c>
      <c r="Q24" s="2">
        <f>SUMIF(SmtRes!AQ1:'SmtRes'!AQ6,"=1",SmtRes!DG1:'SmtRes'!DG6)</f>
        <v>180.83999999999997</v>
      </c>
      <c r="R24" s="2">
        <f>SUMIF(SmtRes!AQ1:'SmtRes'!AQ6,"=1",SmtRes!DH1:'SmtRes'!DH6)</f>
        <v>80.17</v>
      </c>
      <c r="S24" s="2">
        <f>SUMIF(SmtRes!AQ1:'SmtRes'!AQ6,"=1",SmtRes!DI1:'SmtRes'!DI6)</f>
        <v>160.82</v>
      </c>
      <c r="T24" s="2">
        <f>ROUND(CU24*I24,2)</f>
        <v>0</v>
      </c>
      <c r="U24" s="2">
        <f>SUMIF(SmtRes!AQ1:'SmtRes'!AQ6,"=1",SmtRes!CV1:'SmtRes'!CV6)</f>
        <v>0.29360000000000003</v>
      </c>
      <c r="V24" s="2">
        <f>SUMIF(SmtRes!AQ1:'SmtRes'!AQ6,"=1",SmtRes!CW1:'SmtRes'!CW6)</f>
        <v>0.1182</v>
      </c>
      <c r="W24" s="2">
        <f>ROUND(CX24*I24,2)</f>
        <v>0</v>
      </c>
      <c r="X24" s="2">
        <f t="shared" ref="X24:Y26" si="14">ROUND(CY24,2)</f>
        <v>221.71</v>
      </c>
      <c r="Y24" s="2">
        <f t="shared" si="14"/>
        <v>125.31</v>
      </c>
      <c r="Z24" s="2"/>
      <c r="AA24" s="2">
        <v>17308916</v>
      </c>
      <c r="AB24" s="2">
        <f>ROUND((AC24+AD24+AF24),6)</f>
        <v>34165.332900000001</v>
      </c>
      <c r="AC24" s="2">
        <f>ROUND((0),6)</f>
        <v>0</v>
      </c>
      <c r="AD24" s="2">
        <f>ROUND((((SUM(SmtRes!BR1:'SmtRes'!BR6))-(SUM(SmtRes!BS1:'SmtRes'!BS6)))+AE24),6)</f>
        <v>18083.6865</v>
      </c>
      <c r="AE24" s="2">
        <f>ROUND((SUM(SmtRes!BS1:'SmtRes'!BS6)),6)</f>
        <v>8017.6292999999996</v>
      </c>
      <c r="AF24" s="2">
        <f>ROUND((SUM(SmtRes!BT1:'SmtRes'!BT6)),6)</f>
        <v>16081.6464</v>
      </c>
      <c r="AG24" s="2">
        <f>ROUND((AP24),6)</f>
        <v>0</v>
      </c>
      <c r="AH24" s="2">
        <f>(SUM(SmtRes!BU1:'SmtRes'!BU6))</f>
        <v>29.36</v>
      </c>
      <c r="AI24" s="2">
        <f>(SUM(SmtRes!BV1:'SmtRes'!BV6))</f>
        <v>11.82</v>
      </c>
      <c r="AJ24" s="2">
        <f>(AS24)</f>
        <v>0</v>
      </c>
      <c r="AK24" s="2">
        <v>42182.962200000002</v>
      </c>
      <c r="AL24" s="2">
        <v>0</v>
      </c>
      <c r="AM24" s="2">
        <v>18083.686500000003</v>
      </c>
      <c r="AN24" s="2">
        <v>8017.6293000000005</v>
      </c>
      <c r="AO24" s="2">
        <v>16081.6464</v>
      </c>
      <c r="AP24" s="2">
        <v>0</v>
      </c>
      <c r="AQ24" s="2">
        <v>29.36</v>
      </c>
      <c r="AR24" s="2">
        <v>11.82</v>
      </c>
      <c r="AS24" s="2">
        <v>0</v>
      </c>
      <c r="AT24" s="2">
        <v>92</v>
      </c>
      <c r="AU24" s="2">
        <v>52</v>
      </c>
      <c r="AV24" s="2">
        <v>1</v>
      </c>
      <c r="AW24" s="2">
        <v>1</v>
      </c>
      <c r="AX24" s="2"/>
      <c r="AY24" s="2"/>
      <c r="AZ24" s="2">
        <v>1</v>
      </c>
      <c r="BA24" s="2">
        <v>1</v>
      </c>
      <c r="BB24" s="2">
        <v>1</v>
      </c>
      <c r="BC24" s="2">
        <v>1</v>
      </c>
      <c r="BD24" s="2" t="s">
        <v>3</v>
      </c>
      <c r="BE24" s="2" t="s">
        <v>3</v>
      </c>
      <c r="BF24" s="2" t="s">
        <v>3</v>
      </c>
      <c r="BG24" s="2" t="s">
        <v>3</v>
      </c>
      <c r="BH24" s="2">
        <v>0</v>
      </c>
      <c r="BI24" s="2">
        <v>1</v>
      </c>
      <c r="BJ24" s="2" t="s">
        <v>19</v>
      </c>
      <c r="BK24" s="2"/>
      <c r="BL24" s="2"/>
      <c r="BM24" s="2">
        <v>53001</v>
      </c>
      <c r="BN24" s="2">
        <v>0</v>
      </c>
      <c r="BO24" s="2" t="s">
        <v>3</v>
      </c>
      <c r="BP24" s="2">
        <v>0</v>
      </c>
      <c r="BQ24" s="2">
        <v>6</v>
      </c>
      <c r="BR24" s="2">
        <v>0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 t="s">
        <v>3</v>
      </c>
      <c r="BZ24" s="2">
        <v>92</v>
      </c>
      <c r="CA24" s="2">
        <v>52</v>
      </c>
      <c r="CB24" s="2" t="s">
        <v>3</v>
      </c>
      <c r="CC24" s="2"/>
      <c r="CD24" s="2"/>
      <c r="CE24" s="2">
        <v>0</v>
      </c>
      <c r="CF24" s="2">
        <v>0</v>
      </c>
      <c r="CG24" s="2">
        <v>0</v>
      </c>
      <c r="CH24" s="2"/>
      <c r="CI24" s="2"/>
      <c r="CJ24" s="2"/>
      <c r="CK24" s="2"/>
      <c r="CL24" s="2"/>
      <c r="CM24" s="2">
        <v>0</v>
      </c>
      <c r="CN24" s="2" t="s">
        <v>3</v>
      </c>
      <c r="CO24" s="2">
        <v>0</v>
      </c>
      <c r="CP24" s="2">
        <f>(P24+Q24+S24+R24)</f>
        <v>421.83</v>
      </c>
      <c r="CQ24" s="2">
        <f>SUMIF(SmtRes!AQ1:'SmtRes'!AQ6,"=1",SmtRes!AA1:'SmtRes'!AA6)</f>
        <v>0</v>
      </c>
      <c r="CR24" s="2">
        <f>SUMIF(SmtRes!AQ1:'SmtRes'!AQ6,"=1",SmtRes!AB1:'SmtRes'!AB6)</f>
        <v>3757.35</v>
      </c>
      <c r="CS24" s="2">
        <f>SUMIF(SmtRes!AQ1:'SmtRes'!AQ6,"=1",SmtRes!AC1:'SmtRes'!AC6)</f>
        <v>1905.02</v>
      </c>
      <c r="CT24" s="2">
        <f>SUMIF(SmtRes!AQ1:'SmtRes'!AQ6,"=1",SmtRes!AD1:'SmtRes'!AD6)</f>
        <v>547.74</v>
      </c>
      <c r="CU24" s="2">
        <f>AG24</f>
        <v>0</v>
      </c>
      <c r="CV24" s="2">
        <f>SUMIF(SmtRes!AQ1:'SmtRes'!AQ6,"=1",SmtRes!BU1:'SmtRes'!BU6)</f>
        <v>29.36</v>
      </c>
      <c r="CW24" s="2">
        <f>SUMIF(SmtRes!AQ1:'SmtRes'!AQ6,"=1",SmtRes!BV1:'SmtRes'!BV6)</f>
        <v>11.82</v>
      </c>
      <c r="CX24" s="2">
        <f>AJ24</f>
        <v>0</v>
      </c>
      <c r="CY24" s="2">
        <f>(((S24+R24)*AT24)/100)</f>
        <v>221.71080000000001</v>
      </c>
      <c r="CZ24" s="2">
        <f>(((S24+R24)*AU24)/100)</f>
        <v>125.31479999999999</v>
      </c>
      <c r="DA24" s="2"/>
      <c r="DB24" s="2"/>
      <c r="DC24" s="2" t="s">
        <v>3</v>
      </c>
      <c r="DD24" s="2" t="s">
        <v>3</v>
      </c>
      <c r="DE24" s="2" t="s">
        <v>3</v>
      </c>
      <c r="DF24" s="2" t="s">
        <v>3</v>
      </c>
      <c r="DG24" s="2" t="s">
        <v>3</v>
      </c>
      <c r="DH24" s="2" t="s">
        <v>3</v>
      </c>
      <c r="DI24" s="2" t="s">
        <v>3</v>
      </c>
      <c r="DJ24" s="2" t="s">
        <v>3</v>
      </c>
      <c r="DK24" s="2" t="s">
        <v>3</v>
      </c>
      <c r="DL24" s="2" t="s">
        <v>3</v>
      </c>
      <c r="DM24" s="2" t="s">
        <v>3</v>
      </c>
      <c r="DN24" s="2">
        <v>0</v>
      </c>
      <c r="DO24" s="2">
        <v>0</v>
      </c>
      <c r="DP24" s="2">
        <v>1</v>
      </c>
      <c r="DQ24" s="2">
        <v>1</v>
      </c>
      <c r="DR24" s="2"/>
      <c r="DS24" s="2"/>
      <c r="DT24" s="2"/>
      <c r="DU24" s="2">
        <v>1003</v>
      </c>
      <c r="DV24" s="2" t="s">
        <v>18</v>
      </c>
      <c r="DW24" s="2" t="s">
        <v>18</v>
      </c>
      <c r="DX24" s="2">
        <v>100</v>
      </c>
      <c r="DY24" s="2"/>
      <c r="DZ24" s="2" t="s">
        <v>3</v>
      </c>
      <c r="EA24" s="2" t="s">
        <v>3</v>
      </c>
      <c r="EB24" s="2" t="s">
        <v>3</v>
      </c>
      <c r="EC24" s="2" t="s">
        <v>3</v>
      </c>
      <c r="ED24" s="2"/>
      <c r="EE24" s="2">
        <v>15909297</v>
      </c>
      <c r="EF24" s="2">
        <v>6</v>
      </c>
      <c r="EG24" s="2" t="s">
        <v>20</v>
      </c>
      <c r="EH24" s="2">
        <v>87</v>
      </c>
      <c r="EI24" s="2" t="s">
        <v>21</v>
      </c>
      <c r="EJ24" s="2">
        <v>1</v>
      </c>
      <c r="EK24" s="2">
        <v>53001</v>
      </c>
      <c r="EL24" s="2" t="s">
        <v>21</v>
      </c>
      <c r="EM24" s="2" t="s">
        <v>22</v>
      </c>
      <c r="EN24" s="2"/>
      <c r="EO24" s="2" t="s">
        <v>3</v>
      </c>
      <c r="EP24" s="2"/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29.36</v>
      </c>
      <c r="EX24" s="2">
        <v>11.82</v>
      </c>
      <c r="EY24" s="2">
        <v>0</v>
      </c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>
        <v>0</v>
      </c>
      <c r="FR24" s="2">
        <v>0</v>
      </c>
      <c r="FS24" s="2">
        <v>0</v>
      </c>
      <c r="FT24" s="2"/>
      <c r="FU24" s="2"/>
      <c r="FV24" s="2"/>
      <c r="FW24" s="2"/>
      <c r="FX24" s="2">
        <v>92</v>
      </c>
      <c r="FY24" s="2">
        <v>52</v>
      </c>
      <c r="FZ24" s="2"/>
      <c r="GA24" s="2" t="s">
        <v>3</v>
      </c>
      <c r="GB24" s="2"/>
      <c r="GC24" s="2"/>
      <c r="GD24" s="2">
        <v>1</v>
      </c>
      <c r="GE24" s="2"/>
      <c r="GF24" s="2">
        <v>-1872395568</v>
      </c>
      <c r="GG24" s="2">
        <v>2</v>
      </c>
      <c r="GH24" s="2">
        <v>1</v>
      </c>
      <c r="GI24" s="2">
        <v>-2</v>
      </c>
      <c r="GJ24" s="2">
        <v>0</v>
      </c>
      <c r="GK24" s="2">
        <v>0</v>
      </c>
      <c r="GL24" s="2">
        <f>ROUND(IF(AND(BH24=3,BI24=3,FS24&lt;&gt;0),P24,0),2)</f>
        <v>0</v>
      </c>
      <c r="GM24" s="2">
        <f>ROUND(O24+X24+Y24,2)+GX24</f>
        <v>768.85</v>
      </c>
      <c r="GN24" s="2">
        <f>IF(OR(BI24=0,BI24=1),GM24-GX24,0)</f>
        <v>768.85</v>
      </c>
      <c r="GO24" s="2">
        <f>IF(BI24=2,GM24-GX24,0)</f>
        <v>0</v>
      </c>
      <c r="GP24" s="2">
        <f>IF(BI24=4,GM24-GX24,0)</f>
        <v>0</v>
      </c>
      <c r="GQ24" s="2"/>
      <c r="GR24" s="2">
        <v>0</v>
      </c>
      <c r="GS24" s="2">
        <v>3</v>
      </c>
      <c r="GT24" s="2">
        <v>0</v>
      </c>
      <c r="GU24" s="2" t="s">
        <v>3</v>
      </c>
      <c r="GV24" s="2">
        <f>ROUND((GT24),6)</f>
        <v>0</v>
      </c>
      <c r="GW24" s="2">
        <v>1</v>
      </c>
      <c r="GX24" s="2">
        <f>ROUND(HC24*I24,2)</f>
        <v>0</v>
      </c>
      <c r="GY24" s="2"/>
      <c r="GZ24" s="2"/>
      <c r="HA24" s="2">
        <v>0</v>
      </c>
      <c r="HB24" s="2">
        <v>0</v>
      </c>
      <c r="HC24" s="2">
        <f>GV24*GW24</f>
        <v>0</v>
      </c>
      <c r="HD24" s="2"/>
      <c r="HE24" s="2" t="s">
        <v>3</v>
      </c>
      <c r="HF24" s="2" t="s">
        <v>3</v>
      </c>
      <c r="HG24" s="2"/>
      <c r="HH24" s="2"/>
      <c r="HI24" s="2"/>
      <c r="HJ24" s="2"/>
      <c r="HK24" s="2"/>
      <c r="HL24" s="2"/>
      <c r="HM24" s="2" t="s">
        <v>3</v>
      </c>
      <c r="HN24" s="2" t="s">
        <v>23</v>
      </c>
      <c r="HO24" s="2" t="s">
        <v>24</v>
      </c>
      <c r="HP24" s="2" t="s">
        <v>21</v>
      </c>
      <c r="HQ24" s="2" t="s">
        <v>21</v>
      </c>
      <c r="HR24" s="2"/>
      <c r="HS24" s="2">
        <v>0</v>
      </c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>
        <v>0</v>
      </c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x14ac:dyDescent="0.25">
      <c r="A25" s="2">
        <v>18</v>
      </c>
      <c r="B25" s="2">
        <v>1</v>
      </c>
      <c r="C25" s="2">
        <v>6</v>
      </c>
      <c r="D25" s="2"/>
      <c r="E25" s="2" t="s">
        <v>25</v>
      </c>
      <c r="F25" s="2" t="s">
        <v>26</v>
      </c>
      <c r="G25" s="2" t="s">
        <v>27</v>
      </c>
      <c r="H25" s="2" t="s">
        <v>28</v>
      </c>
      <c r="I25" s="2">
        <f>I24*J25</f>
        <v>0.5</v>
      </c>
      <c r="J25" s="2">
        <v>50</v>
      </c>
      <c r="K25" s="2">
        <v>50</v>
      </c>
      <c r="L25" s="2"/>
      <c r="M25" s="2"/>
      <c r="N25" s="2"/>
      <c r="O25" s="2">
        <f>ROUND(CP25,2)</f>
        <v>223.57</v>
      </c>
      <c r="P25" s="2">
        <f>ROUND(CQ25*I25,2)</f>
        <v>223.57</v>
      </c>
      <c r="Q25" s="2">
        <f>ROUND(CR25*I25,2)</f>
        <v>0</v>
      </c>
      <c r="R25" s="2">
        <f>ROUND(CS25*I25,2)</f>
        <v>0</v>
      </c>
      <c r="S25" s="2">
        <f>ROUND(CT25*I25,2)</f>
        <v>0</v>
      </c>
      <c r="T25" s="2">
        <f>ROUND(CU25*I25,2)</f>
        <v>0</v>
      </c>
      <c r="U25" s="2">
        <f>ROUND(CV25*I25,7)</f>
        <v>0</v>
      </c>
      <c r="V25" s="2">
        <f>ROUND(CW25*I25,7)</f>
        <v>0</v>
      </c>
      <c r="W25" s="2">
        <f>ROUND(CX25*I25,2)</f>
        <v>0</v>
      </c>
      <c r="X25" s="2">
        <f t="shared" si="14"/>
        <v>0</v>
      </c>
      <c r="Y25" s="2">
        <f t="shared" si="14"/>
        <v>0</v>
      </c>
      <c r="Z25" s="2"/>
      <c r="AA25" s="2">
        <v>17308916</v>
      </c>
      <c r="AB25" s="2">
        <f>ROUND((AC25+AD25+AF25),6)</f>
        <v>259.95999999999998</v>
      </c>
      <c r="AC25" s="2">
        <f>ROUND((ES25),6)</f>
        <v>259.95999999999998</v>
      </c>
      <c r="AD25" s="2">
        <f>ROUND((((ET25)-(EU25))+AE25),6)</f>
        <v>0</v>
      </c>
      <c r="AE25" s="2">
        <f>ROUND((EU25),6)</f>
        <v>0</v>
      </c>
      <c r="AF25" s="2">
        <f>ROUND((EV25),6)</f>
        <v>0</v>
      </c>
      <c r="AG25" s="2">
        <f>ROUND((AP25),6)</f>
        <v>0</v>
      </c>
      <c r="AH25" s="2">
        <f>(EW25)</f>
        <v>0</v>
      </c>
      <c r="AI25" s="2">
        <f>(EX25)</f>
        <v>0</v>
      </c>
      <c r="AJ25" s="2">
        <f>(AS25)</f>
        <v>0</v>
      </c>
      <c r="AK25" s="2">
        <v>259.95999999999998</v>
      </c>
      <c r="AL25" s="2">
        <v>259.95999999999998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92</v>
      </c>
      <c r="AU25" s="2">
        <v>52</v>
      </c>
      <c r="AV25" s="2">
        <v>1</v>
      </c>
      <c r="AW25" s="2">
        <v>1</v>
      </c>
      <c r="AX25" s="2"/>
      <c r="AY25" s="2"/>
      <c r="AZ25" s="2">
        <v>1</v>
      </c>
      <c r="BA25" s="2">
        <v>1</v>
      </c>
      <c r="BB25" s="2">
        <v>1</v>
      </c>
      <c r="BC25" s="2">
        <v>1.72</v>
      </c>
      <c r="BD25" s="2" t="s">
        <v>3</v>
      </c>
      <c r="BE25" s="2" t="s">
        <v>3</v>
      </c>
      <c r="BF25" s="2" t="s">
        <v>3</v>
      </c>
      <c r="BG25" s="2" t="s">
        <v>3</v>
      </c>
      <c r="BH25" s="2">
        <v>3</v>
      </c>
      <c r="BI25" s="2">
        <v>1</v>
      </c>
      <c r="BJ25" s="2" t="s">
        <v>29</v>
      </c>
      <c r="BK25" s="2"/>
      <c r="BL25" s="2"/>
      <c r="BM25" s="2">
        <v>53001</v>
      </c>
      <c r="BN25" s="2">
        <v>0</v>
      </c>
      <c r="BO25" s="2" t="s">
        <v>26</v>
      </c>
      <c r="BP25" s="2">
        <v>1</v>
      </c>
      <c r="BQ25" s="2">
        <v>6</v>
      </c>
      <c r="BR25" s="2">
        <v>0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 t="s">
        <v>3</v>
      </c>
      <c r="BZ25" s="2">
        <v>92</v>
      </c>
      <c r="CA25" s="2">
        <v>52</v>
      </c>
      <c r="CB25" s="2" t="s">
        <v>3</v>
      </c>
      <c r="CC25" s="2"/>
      <c r="CD25" s="2"/>
      <c r="CE25" s="2">
        <v>0</v>
      </c>
      <c r="CF25" s="2">
        <v>0</v>
      </c>
      <c r="CG25" s="2">
        <v>0</v>
      </c>
      <c r="CH25" s="2"/>
      <c r="CI25" s="2"/>
      <c r="CJ25" s="2"/>
      <c r="CK25" s="2"/>
      <c r="CL25" s="2"/>
      <c r="CM25" s="2">
        <v>0</v>
      </c>
      <c r="CN25" s="2" t="s">
        <v>3</v>
      </c>
      <c r="CO25" s="2">
        <v>0</v>
      </c>
      <c r="CP25" s="2">
        <f>(P25+Q25+S25+R25)</f>
        <v>223.57</v>
      </c>
      <c r="CQ25" s="2">
        <f>ROUND(AL25*BC25,2)</f>
        <v>447.13</v>
      </c>
      <c r="CR25" s="2">
        <f>ROUND(AM25*BB25,2)</f>
        <v>0</v>
      </c>
      <c r="CS25" s="2">
        <f>ROUND(AN25*BS25,2)</f>
        <v>0</v>
      </c>
      <c r="CT25" s="2">
        <f>ROUND(AO25*BA25,2)</f>
        <v>0</v>
      </c>
      <c r="CU25" s="2">
        <f>AG25</f>
        <v>0</v>
      </c>
      <c r="CV25" s="2">
        <f>AH25</f>
        <v>0</v>
      </c>
      <c r="CW25" s="2">
        <f>AI25</f>
        <v>0</v>
      </c>
      <c r="CX25" s="2">
        <f>AJ25</f>
        <v>0</v>
      </c>
      <c r="CY25" s="2">
        <f>(((S25+R25)*AT25)/100)</f>
        <v>0</v>
      </c>
      <c r="CZ25" s="2">
        <f>(((S25+R25)*AU25)/100)</f>
        <v>0</v>
      </c>
      <c r="DA25" s="2"/>
      <c r="DB25" s="2"/>
      <c r="DC25" s="2" t="s">
        <v>3</v>
      </c>
      <c r="DD25" s="2" t="s">
        <v>3</v>
      </c>
      <c r="DE25" s="2" t="s">
        <v>3</v>
      </c>
      <c r="DF25" s="2" t="s">
        <v>3</v>
      </c>
      <c r="DG25" s="2" t="s">
        <v>3</v>
      </c>
      <c r="DH25" s="2" t="s">
        <v>3</v>
      </c>
      <c r="DI25" s="2" t="s">
        <v>3</v>
      </c>
      <c r="DJ25" s="2" t="s">
        <v>3</v>
      </c>
      <c r="DK25" s="2" t="s">
        <v>3</v>
      </c>
      <c r="DL25" s="2" t="s">
        <v>3</v>
      </c>
      <c r="DM25" s="2" t="s">
        <v>3</v>
      </c>
      <c r="DN25" s="2">
        <v>0</v>
      </c>
      <c r="DO25" s="2">
        <v>0</v>
      </c>
      <c r="DP25" s="2">
        <v>1</v>
      </c>
      <c r="DQ25" s="2">
        <v>1</v>
      </c>
      <c r="DR25" s="2"/>
      <c r="DS25" s="2"/>
      <c r="DT25" s="2"/>
      <c r="DU25" s="2">
        <v>1009</v>
      </c>
      <c r="DV25" s="2" t="s">
        <v>28</v>
      </c>
      <c r="DW25" s="2" t="s">
        <v>28</v>
      </c>
      <c r="DX25" s="2">
        <v>1</v>
      </c>
      <c r="DY25" s="2"/>
      <c r="DZ25" s="2" t="s">
        <v>3</v>
      </c>
      <c r="EA25" s="2" t="s">
        <v>3</v>
      </c>
      <c r="EB25" s="2" t="s">
        <v>3</v>
      </c>
      <c r="EC25" s="2" t="s">
        <v>3</v>
      </c>
      <c r="ED25" s="2"/>
      <c r="EE25" s="2">
        <v>15909297</v>
      </c>
      <c r="EF25" s="2">
        <v>6</v>
      </c>
      <c r="EG25" s="2" t="s">
        <v>20</v>
      </c>
      <c r="EH25" s="2">
        <v>87</v>
      </c>
      <c r="EI25" s="2" t="s">
        <v>21</v>
      </c>
      <c r="EJ25" s="2">
        <v>1</v>
      </c>
      <c r="EK25" s="2">
        <v>53001</v>
      </c>
      <c r="EL25" s="2" t="s">
        <v>21</v>
      </c>
      <c r="EM25" s="2" t="s">
        <v>22</v>
      </c>
      <c r="EN25" s="2"/>
      <c r="EO25" s="2" t="s">
        <v>3</v>
      </c>
      <c r="EP25" s="2"/>
      <c r="EQ25" s="2">
        <v>0</v>
      </c>
      <c r="ER25" s="2">
        <v>259.95999999999998</v>
      </c>
      <c r="ES25" s="2">
        <v>259.95999999999998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>
        <v>0</v>
      </c>
      <c r="FR25" s="2">
        <v>0</v>
      </c>
      <c r="FS25" s="2">
        <v>0</v>
      </c>
      <c r="FT25" s="2"/>
      <c r="FU25" s="2"/>
      <c r="FV25" s="2"/>
      <c r="FW25" s="2"/>
      <c r="FX25" s="2">
        <v>92</v>
      </c>
      <c r="FY25" s="2">
        <v>52</v>
      </c>
      <c r="FZ25" s="2"/>
      <c r="GA25" s="2" t="s">
        <v>3</v>
      </c>
      <c r="GB25" s="2"/>
      <c r="GC25" s="2"/>
      <c r="GD25" s="2">
        <v>1</v>
      </c>
      <c r="GE25" s="2"/>
      <c r="GF25" s="2">
        <v>-1097743337</v>
      </c>
      <c r="GG25" s="2">
        <v>2</v>
      </c>
      <c r="GH25" s="2">
        <v>1</v>
      </c>
      <c r="GI25" s="2">
        <v>2</v>
      </c>
      <c r="GJ25" s="2">
        <v>0</v>
      </c>
      <c r="GK25" s="2">
        <v>0</v>
      </c>
      <c r="GL25" s="2">
        <f>ROUND(IF(AND(BH25=3,BI25=3,FS25&lt;&gt;0),P25,0),2)</f>
        <v>0</v>
      </c>
      <c r="GM25" s="2">
        <f>ROUND(O25+X25+Y25,2)+GX25</f>
        <v>223.57</v>
      </c>
      <c r="GN25" s="2">
        <f>IF(OR(BI25=0,BI25=1),GM25-GX25,0)</f>
        <v>223.57</v>
      </c>
      <c r="GO25" s="2">
        <f>IF(BI25=2,GM25-GX25,0)</f>
        <v>0</v>
      </c>
      <c r="GP25" s="2">
        <f>IF(BI25=4,GM25-GX25,0)</f>
        <v>0</v>
      </c>
      <c r="GQ25" s="2"/>
      <c r="GR25" s="2">
        <v>0</v>
      </c>
      <c r="GS25" s="2">
        <v>3</v>
      </c>
      <c r="GT25" s="2">
        <v>0</v>
      </c>
      <c r="GU25" s="2" t="s">
        <v>3</v>
      </c>
      <c r="GV25" s="2">
        <f>ROUND((GT25),6)</f>
        <v>0</v>
      </c>
      <c r="GW25" s="2">
        <v>1</v>
      </c>
      <c r="GX25" s="2">
        <f>ROUND(HC25*I25,2)</f>
        <v>0</v>
      </c>
      <c r="GY25" s="2"/>
      <c r="GZ25" s="2"/>
      <c r="HA25" s="2">
        <v>0</v>
      </c>
      <c r="HB25" s="2">
        <v>0</v>
      </c>
      <c r="HC25" s="2">
        <f>GV25*GW25</f>
        <v>0</v>
      </c>
      <c r="HD25" s="2"/>
      <c r="HE25" s="2" t="s">
        <v>3</v>
      </c>
      <c r="HF25" s="2" t="s">
        <v>3</v>
      </c>
      <c r="HG25" s="2"/>
      <c r="HH25" s="2"/>
      <c r="HI25" s="2"/>
      <c r="HJ25" s="2"/>
      <c r="HK25" s="2"/>
      <c r="HL25" s="2"/>
      <c r="HM25" s="2" t="s">
        <v>3</v>
      </c>
      <c r="HN25" s="2" t="s">
        <v>23</v>
      </c>
      <c r="HO25" s="2" t="s">
        <v>24</v>
      </c>
      <c r="HP25" s="2" t="s">
        <v>21</v>
      </c>
      <c r="HQ25" s="2" t="s">
        <v>21</v>
      </c>
      <c r="HR25" s="2"/>
      <c r="HS25" s="2">
        <v>0</v>
      </c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>
        <v>0</v>
      </c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x14ac:dyDescent="0.25">
      <c r="A26" s="2">
        <v>17</v>
      </c>
      <c r="B26" s="2">
        <v>1</v>
      </c>
      <c r="C26" s="2"/>
      <c r="D26" s="2"/>
      <c r="E26" s="2" t="s">
        <v>30</v>
      </c>
      <c r="F26" s="2" t="s">
        <v>31</v>
      </c>
      <c r="G26" s="2" t="s">
        <v>32</v>
      </c>
      <c r="H26" s="2" t="s">
        <v>33</v>
      </c>
      <c r="I26" s="2">
        <v>0.4</v>
      </c>
      <c r="J26" s="2">
        <v>0</v>
      </c>
      <c r="K26" s="2">
        <v>0.4</v>
      </c>
      <c r="L26" s="2"/>
      <c r="M26" s="2"/>
      <c r="N26" s="2"/>
      <c r="O26" s="2">
        <f>ROUND(CP26,2)</f>
        <v>140.32</v>
      </c>
      <c r="P26" s="2">
        <f>ROUND(CQ26*I26,2)</f>
        <v>140.32</v>
      </c>
      <c r="Q26" s="2">
        <f>ROUND(CR26*I26,2)</f>
        <v>0</v>
      </c>
      <c r="R26" s="2">
        <f>ROUND(CS26*I26,2)</f>
        <v>0</v>
      </c>
      <c r="S26" s="2">
        <f>ROUND(CT26*I26,2)</f>
        <v>0</v>
      </c>
      <c r="T26" s="2">
        <f>ROUND(CU26*I26,2)</f>
        <v>0</v>
      </c>
      <c r="U26" s="2">
        <f>ROUND(CV26*I26,7)</f>
        <v>0</v>
      </c>
      <c r="V26" s="2">
        <f>ROUND(CW26*I26,7)</f>
        <v>0</v>
      </c>
      <c r="W26" s="2">
        <f>ROUND(CX26*I26,2)</f>
        <v>0</v>
      </c>
      <c r="X26" s="2">
        <f t="shared" si="14"/>
        <v>0</v>
      </c>
      <c r="Y26" s="2">
        <f t="shared" si="14"/>
        <v>0</v>
      </c>
      <c r="Z26" s="2"/>
      <c r="AA26" s="2">
        <v>17308916</v>
      </c>
      <c r="AB26" s="2">
        <f>ROUND((AC26+AD26+AF26),6)</f>
        <v>350.8</v>
      </c>
      <c r="AC26" s="2">
        <f>ROUND((ES26),6)</f>
        <v>350.8</v>
      </c>
      <c r="AD26" s="2">
        <f>ROUND((((ET26)-(EU26))+AE26),6)</f>
        <v>0</v>
      </c>
      <c r="AE26" s="2">
        <f>ROUND((EU26),6)</f>
        <v>0</v>
      </c>
      <c r="AF26" s="2">
        <f>ROUND((EV26),6)</f>
        <v>0</v>
      </c>
      <c r="AG26" s="2">
        <f>ROUND((AP26),6)</f>
        <v>0</v>
      </c>
      <c r="AH26" s="2">
        <f>(EW26)</f>
        <v>0</v>
      </c>
      <c r="AI26" s="2">
        <f>(EX26)</f>
        <v>0</v>
      </c>
      <c r="AJ26" s="2">
        <f>(AS26)</f>
        <v>0</v>
      </c>
      <c r="AK26" s="2">
        <v>350.8</v>
      </c>
      <c r="AL26" s="2">
        <v>350.8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1</v>
      </c>
      <c r="AW26" s="2">
        <v>1</v>
      </c>
      <c r="AX26" s="2"/>
      <c r="AY26" s="2"/>
      <c r="AZ26" s="2">
        <v>1</v>
      </c>
      <c r="BA26" s="2">
        <v>1</v>
      </c>
      <c r="BB26" s="2">
        <v>1</v>
      </c>
      <c r="BC26" s="2">
        <v>1</v>
      </c>
      <c r="BD26" s="2" t="s">
        <v>3</v>
      </c>
      <c r="BE26" s="2" t="s">
        <v>3</v>
      </c>
      <c r="BF26" s="2" t="s">
        <v>3</v>
      </c>
      <c r="BG26" s="2" t="s">
        <v>3</v>
      </c>
      <c r="BH26" s="2">
        <v>3</v>
      </c>
      <c r="BI26" s="2">
        <v>1</v>
      </c>
      <c r="BJ26" s="2" t="s">
        <v>34</v>
      </c>
      <c r="BK26" s="2"/>
      <c r="BL26" s="2"/>
      <c r="BM26" s="2">
        <v>500001</v>
      </c>
      <c r="BN26" s="2">
        <v>0</v>
      </c>
      <c r="BO26" s="2" t="s">
        <v>3</v>
      </c>
      <c r="BP26" s="2">
        <v>0</v>
      </c>
      <c r="BQ26" s="2">
        <v>8</v>
      </c>
      <c r="BR26" s="2">
        <v>0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 t="s">
        <v>3</v>
      </c>
      <c r="BZ26" s="2">
        <v>0</v>
      </c>
      <c r="CA26" s="2">
        <v>0</v>
      </c>
      <c r="CB26" s="2" t="s">
        <v>3</v>
      </c>
      <c r="CC26" s="2"/>
      <c r="CD26" s="2"/>
      <c r="CE26" s="2">
        <v>0</v>
      </c>
      <c r="CF26" s="2">
        <v>0</v>
      </c>
      <c r="CG26" s="2">
        <v>0</v>
      </c>
      <c r="CH26" s="2"/>
      <c r="CI26" s="2"/>
      <c r="CJ26" s="2"/>
      <c r="CK26" s="2"/>
      <c r="CL26" s="2"/>
      <c r="CM26" s="2">
        <v>0</v>
      </c>
      <c r="CN26" s="2" t="s">
        <v>3</v>
      </c>
      <c r="CO26" s="2">
        <v>0</v>
      </c>
      <c r="CP26" s="2">
        <f>(P26+Q26+S26+R26)</f>
        <v>140.32</v>
      </c>
      <c r="CQ26" s="2">
        <f>ROUND(AL26*BC26,2)</f>
        <v>350.8</v>
      </c>
      <c r="CR26" s="2">
        <f>ROUND(AM26*BB26,2)</f>
        <v>0</v>
      </c>
      <c r="CS26" s="2">
        <f>ROUND(AN26*BS26,2)</f>
        <v>0</v>
      </c>
      <c r="CT26" s="2">
        <f>ROUND(AO26*BA26,2)</f>
        <v>0</v>
      </c>
      <c r="CU26" s="2">
        <f>AG26</f>
        <v>0</v>
      </c>
      <c r="CV26" s="2">
        <f>AH26</f>
        <v>0</v>
      </c>
      <c r="CW26" s="2">
        <f>AI26</f>
        <v>0</v>
      </c>
      <c r="CX26" s="2">
        <f>AJ26</f>
        <v>0</v>
      </c>
      <c r="CY26" s="2">
        <f>0</f>
        <v>0</v>
      </c>
      <c r="CZ26" s="2">
        <f>0</f>
        <v>0</v>
      </c>
      <c r="DA26" s="2"/>
      <c r="DB26" s="2"/>
      <c r="DC26" s="2" t="s">
        <v>3</v>
      </c>
      <c r="DD26" s="2" t="s">
        <v>3</v>
      </c>
      <c r="DE26" s="2" t="s">
        <v>3</v>
      </c>
      <c r="DF26" s="2" t="s">
        <v>3</v>
      </c>
      <c r="DG26" s="2" t="s">
        <v>3</v>
      </c>
      <c r="DH26" s="2" t="s">
        <v>3</v>
      </c>
      <c r="DI26" s="2" t="s">
        <v>3</v>
      </c>
      <c r="DJ26" s="2" t="s">
        <v>3</v>
      </c>
      <c r="DK26" s="2" t="s">
        <v>3</v>
      </c>
      <c r="DL26" s="2" t="s">
        <v>3</v>
      </c>
      <c r="DM26" s="2" t="s">
        <v>3</v>
      </c>
      <c r="DN26" s="2">
        <v>0</v>
      </c>
      <c r="DO26" s="2">
        <v>0</v>
      </c>
      <c r="DP26" s="2">
        <v>1</v>
      </c>
      <c r="DQ26" s="2">
        <v>1</v>
      </c>
      <c r="DR26" s="2"/>
      <c r="DS26" s="2"/>
      <c r="DT26" s="2"/>
      <c r="DU26" s="2">
        <v>1013</v>
      </c>
      <c r="DV26" s="2" t="s">
        <v>33</v>
      </c>
      <c r="DW26" s="2" t="s">
        <v>33</v>
      </c>
      <c r="DX26" s="2">
        <v>1</v>
      </c>
      <c r="DY26" s="2"/>
      <c r="DZ26" s="2" t="s">
        <v>3</v>
      </c>
      <c r="EA26" s="2" t="s">
        <v>3</v>
      </c>
      <c r="EB26" s="2" t="s">
        <v>3</v>
      </c>
      <c r="EC26" s="2" t="s">
        <v>3</v>
      </c>
      <c r="ED26" s="2"/>
      <c r="EE26" s="2">
        <v>15909156</v>
      </c>
      <c r="EF26" s="2">
        <v>8</v>
      </c>
      <c r="EG26" s="2" t="s">
        <v>35</v>
      </c>
      <c r="EH26" s="2">
        <v>0</v>
      </c>
      <c r="EI26" s="2" t="s">
        <v>3</v>
      </c>
      <c r="EJ26" s="2">
        <v>1</v>
      </c>
      <c r="EK26" s="2">
        <v>500001</v>
      </c>
      <c r="EL26" s="2" t="s">
        <v>36</v>
      </c>
      <c r="EM26" s="2" t="s">
        <v>37</v>
      </c>
      <c r="EN26" s="2"/>
      <c r="EO26" s="2" t="s">
        <v>3</v>
      </c>
      <c r="EP26" s="2"/>
      <c r="EQ26" s="2">
        <v>0</v>
      </c>
      <c r="ER26" s="2">
        <v>350.8</v>
      </c>
      <c r="ES26" s="2">
        <v>350.8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>
        <v>0</v>
      </c>
      <c r="FR26" s="2">
        <v>0</v>
      </c>
      <c r="FS26" s="2">
        <v>0</v>
      </c>
      <c r="FT26" s="2"/>
      <c r="FU26" s="2"/>
      <c r="FV26" s="2"/>
      <c r="FW26" s="2"/>
      <c r="FX26" s="2">
        <v>0</v>
      </c>
      <c r="FY26" s="2">
        <v>0</v>
      </c>
      <c r="FZ26" s="2"/>
      <c r="GA26" s="2" t="s">
        <v>3</v>
      </c>
      <c r="GB26" s="2"/>
      <c r="GC26" s="2"/>
      <c r="GD26" s="2">
        <v>1</v>
      </c>
      <c r="GE26" s="2">
        <v>377.99</v>
      </c>
      <c r="GF26" s="2">
        <v>739454822</v>
      </c>
      <c r="GG26" s="2">
        <v>2</v>
      </c>
      <c r="GH26" s="2">
        <v>1</v>
      </c>
      <c r="GI26" s="2">
        <v>-2</v>
      </c>
      <c r="GJ26" s="2">
        <v>0</v>
      </c>
      <c r="GK26" s="2">
        <v>0</v>
      </c>
      <c r="GL26" s="2">
        <f>ROUND(IF(AND(BH26=3,BI26=3,FS26&lt;&gt;0),P26,0),2)</f>
        <v>0</v>
      </c>
      <c r="GM26" s="2">
        <f>ROUND(O26+X26+Y26,2)+GX26</f>
        <v>140.32</v>
      </c>
      <c r="GN26" s="2">
        <f>IF(OR(BI26=0,BI26=1),GM26-GX26,0)</f>
        <v>140.32</v>
      </c>
      <c r="GO26" s="2">
        <f>IF(BI26=2,GM26-GX26,0)</f>
        <v>0</v>
      </c>
      <c r="GP26" s="2">
        <f>IF(BI26=4,GM26-GX26,0)</f>
        <v>0</v>
      </c>
      <c r="GQ26" s="2"/>
      <c r="GR26" s="2">
        <v>3</v>
      </c>
      <c r="GS26" s="2">
        <v>3</v>
      </c>
      <c r="GT26" s="2">
        <v>0</v>
      </c>
      <c r="GU26" s="2" t="s">
        <v>3</v>
      </c>
      <c r="GV26" s="2">
        <f>ROUND((GT26),6)</f>
        <v>0</v>
      </c>
      <c r="GW26" s="2">
        <v>1</v>
      </c>
      <c r="GX26" s="2">
        <f>ROUND(HC26*I26,2)</f>
        <v>0</v>
      </c>
      <c r="GY26" s="2"/>
      <c r="GZ26" s="2"/>
      <c r="HA26" s="2">
        <v>0</v>
      </c>
      <c r="HB26" s="2">
        <v>0</v>
      </c>
      <c r="HC26" s="2">
        <f>GV26*GW26</f>
        <v>0</v>
      </c>
      <c r="HD26" s="2"/>
      <c r="HE26" s="2" t="s">
        <v>3</v>
      </c>
      <c r="HF26" s="2" t="s">
        <v>3</v>
      </c>
      <c r="HG26" s="2"/>
      <c r="HH26" s="2"/>
      <c r="HI26" s="2"/>
      <c r="HJ26" s="2"/>
      <c r="HK26" s="2"/>
      <c r="HL26" s="2"/>
      <c r="HM26" s="2" t="s">
        <v>3</v>
      </c>
      <c r="HN26" s="2" t="s">
        <v>3</v>
      </c>
      <c r="HO26" s="2" t="s">
        <v>3</v>
      </c>
      <c r="HP26" s="2" t="s">
        <v>3</v>
      </c>
      <c r="HQ26" s="2" t="s">
        <v>3</v>
      </c>
      <c r="HR26" s="2"/>
      <c r="HS26" s="2">
        <v>0</v>
      </c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>
        <v>0</v>
      </c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8" spans="1:255" x14ac:dyDescent="0.25">
      <c r="A28" s="3">
        <v>51</v>
      </c>
      <c r="B28" s="3">
        <f>B20</f>
        <v>1</v>
      </c>
      <c r="C28" s="3">
        <f>A20</f>
        <v>3</v>
      </c>
      <c r="D28" s="3">
        <f>ROW(A20)</f>
        <v>20</v>
      </c>
      <c r="E28" s="3"/>
      <c r="F28" s="3" t="str">
        <f>IF(F20&lt;&gt;"",F20,"")</f>
        <v>Новая локальная смета</v>
      </c>
      <c r="G28" s="3" t="str">
        <f>IF(G20&lt;&gt;"",G20,"")</f>
        <v>Новая локальная смета</v>
      </c>
      <c r="H28" s="3">
        <v>0</v>
      </c>
      <c r="I28" s="3"/>
      <c r="J28" s="3"/>
      <c r="K28" s="3"/>
      <c r="L28" s="3"/>
      <c r="M28" s="3"/>
      <c r="N28" s="3"/>
      <c r="O28" s="3">
        <f t="shared" ref="O28:T28" si="15">ROUND(AB28,2)</f>
        <v>785.72</v>
      </c>
      <c r="P28" s="3">
        <f t="shared" si="15"/>
        <v>363.89</v>
      </c>
      <c r="Q28" s="3">
        <f t="shared" si="15"/>
        <v>180.84</v>
      </c>
      <c r="R28" s="3">
        <f t="shared" si="15"/>
        <v>80.17</v>
      </c>
      <c r="S28" s="3">
        <f t="shared" si="15"/>
        <v>160.82</v>
      </c>
      <c r="T28" s="3">
        <f t="shared" si="15"/>
        <v>0</v>
      </c>
      <c r="U28" s="3">
        <f>AH28</f>
        <v>0.29360000000000003</v>
      </c>
      <c r="V28" s="3">
        <f>AI28</f>
        <v>0.1182</v>
      </c>
      <c r="W28" s="3">
        <f>ROUND(AJ28,2)</f>
        <v>0</v>
      </c>
      <c r="X28" s="3">
        <f>ROUND(AK28,2)</f>
        <v>221.71</v>
      </c>
      <c r="Y28" s="3">
        <f>ROUND(AL28,2)</f>
        <v>125.31</v>
      </c>
      <c r="Z28" s="3"/>
      <c r="AA28" s="3"/>
      <c r="AB28" s="3">
        <f>ROUND(SUMIF(AA24:AA26,"=17308916",O24:O26),2)</f>
        <v>785.72</v>
      </c>
      <c r="AC28" s="3">
        <f>ROUND(SUMIF(AA24:AA26,"=17308916",P24:P26),2)</f>
        <v>363.89</v>
      </c>
      <c r="AD28" s="3">
        <f>ROUND(SUMIF(AA24:AA26,"=17308916",Q24:Q26),2)</f>
        <v>180.84</v>
      </c>
      <c r="AE28" s="3">
        <f>ROUND(SUMIF(AA24:AA26,"=17308916",R24:R26),2)</f>
        <v>80.17</v>
      </c>
      <c r="AF28" s="3">
        <f>ROUND(SUMIF(AA24:AA26,"=17308916",S24:S26),2)</f>
        <v>160.82</v>
      </c>
      <c r="AG28" s="3">
        <f>ROUND(SUMIF(AA24:AA26,"=17308916",T24:T26),2)</f>
        <v>0</v>
      </c>
      <c r="AH28" s="3">
        <f>SUMIF(AA24:AA26,"=17308916",U24:U26)</f>
        <v>0.29360000000000003</v>
      </c>
      <c r="AI28" s="3">
        <f>SUMIF(AA24:AA26,"=17308916",V24:V26)</f>
        <v>0.1182</v>
      </c>
      <c r="AJ28" s="3">
        <f>ROUND(SUMIF(AA24:AA26,"=17308916",W24:W26),2)</f>
        <v>0</v>
      </c>
      <c r="AK28" s="3">
        <f>ROUND(SUMIF(AA24:AA26,"=17308916",X24:X26),2)</f>
        <v>221.71</v>
      </c>
      <c r="AL28" s="3">
        <f>ROUND(SUMIF(AA24:AA26,"=17308916",Y24:Y26),2)</f>
        <v>125.31</v>
      </c>
      <c r="AM28" s="3"/>
      <c r="AN28" s="3"/>
      <c r="AO28" s="3">
        <f t="shared" ref="AO28:BD28" si="16">ROUND(BX28,2)</f>
        <v>0</v>
      </c>
      <c r="AP28" s="3">
        <f t="shared" si="16"/>
        <v>0</v>
      </c>
      <c r="AQ28" s="3">
        <f t="shared" si="16"/>
        <v>0</v>
      </c>
      <c r="AR28" s="3">
        <f t="shared" si="16"/>
        <v>1132.74</v>
      </c>
      <c r="AS28" s="3">
        <f t="shared" si="16"/>
        <v>1132.74</v>
      </c>
      <c r="AT28" s="3">
        <f t="shared" si="16"/>
        <v>0</v>
      </c>
      <c r="AU28" s="3">
        <f t="shared" si="16"/>
        <v>0</v>
      </c>
      <c r="AV28" s="3">
        <f t="shared" si="16"/>
        <v>363.89</v>
      </c>
      <c r="AW28" s="3">
        <f t="shared" si="16"/>
        <v>363.89</v>
      </c>
      <c r="AX28" s="3">
        <f t="shared" si="16"/>
        <v>0</v>
      </c>
      <c r="AY28" s="3">
        <f t="shared" si="16"/>
        <v>363.89</v>
      </c>
      <c r="AZ28" s="3">
        <f t="shared" si="16"/>
        <v>0</v>
      </c>
      <c r="BA28" s="3">
        <f t="shared" si="16"/>
        <v>0</v>
      </c>
      <c r="BB28" s="3">
        <f t="shared" si="16"/>
        <v>0</v>
      </c>
      <c r="BC28" s="3">
        <f t="shared" si="16"/>
        <v>0</v>
      </c>
      <c r="BD28" s="3">
        <f t="shared" si="16"/>
        <v>0</v>
      </c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>
        <f>ROUND(SUMIF(AA24:AA26,"=17308916",FQ24:FQ26),2)</f>
        <v>0</v>
      </c>
      <c r="BY28" s="3">
        <f>ROUND(SUMIF(AA24:AA26,"=17308916",FR24:FR26),2)</f>
        <v>0</v>
      </c>
      <c r="BZ28" s="3">
        <f>ROUND(SUMIF(AA24:AA26,"=17308916",GL24:GL26),2)</f>
        <v>0</v>
      </c>
      <c r="CA28" s="3">
        <f>ROUND(SUMIF(AA24:AA26,"=17308916",GM24:GM26),2)</f>
        <v>1132.74</v>
      </c>
      <c r="CB28" s="3">
        <f>ROUND(SUMIF(AA24:AA26,"=17308916",GN24:GN26),2)</f>
        <v>1132.74</v>
      </c>
      <c r="CC28" s="3">
        <f>ROUND(SUMIF(AA24:AA26,"=17308916",GO24:GO26),2)</f>
        <v>0</v>
      </c>
      <c r="CD28" s="3">
        <f>ROUND(SUMIF(AA24:AA26,"=17308916",GP24:GP26),2)</f>
        <v>0</v>
      </c>
      <c r="CE28" s="3">
        <f>AC28-BX28</f>
        <v>363.89</v>
      </c>
      <c r="CF28" s="3">
        <f>AC28-BY28</f>
        <v>363.89</v>
      </c>
      <c r="CG28" s="3">
        <f>BX28-BZ28</f>
        <v>0</v>
      </c>
      <c r="CH28" s="3">
        <f>AC28-BX28-BY28+BZ28</f>
        <v>363.89</v>
      </c>
      <c r="CI28" s="3">
        <f>BY28-BZ28</f>
        <v>0</v>
      </c>
      <c r="CJ28" s="3">
        <f>ROUND(SUMIF(AA24:AA26,"=17308916",GX24:GX26),2)</f>
        <v>0</v>
      </c>
      <c r="CK28" s="3">
        <f>ROUND(SUMIF(AA24:AA26,"=17308916",GY24:GY26),2)</f>
        <v>0</v>
      </c>
      <c r="CL28" s="3">
        <f>ROUND(SUMIF(AA24:AA26,"=17308916",GZ24:GZ26),2)</f>
        <v>0</v>
      </c>
      <c r="CM28" s="3">
        <f>ROUND(SUMIF(AA24:AA26,"=17308916",HD24:HD26),2)</f>
        <v>0</v>
      </c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>
        <v>0</v>
      </c>
    </row>
    <row r="30" spans="1:255" x14ac:dyDescent="0.25">
      <c r="A30" s="5">
        <v>50</v>
      </c>
      <c r="B30" s="5">
        <v>0</v>
      </c>
      <c r="C30" s="5">
        <v>0</v>
      </c>
      <c r="D30" s="5">
        <v>1</v>
      </c>
      <c r="E30" s="5">
        <v>201</v>
      </c>
      <c r="F30" s="5">
        <f>ROUND(Source!O28,O30)</f>
        <v>785.72</v>
      </c>
      <c r="G30" s="5" t="s">
        <v>38</v>
      </c>
      <c r="H30" s="5" t="s">
        <v>39</v>
      </c>
      <c r="I30" s="5"/>
      <c r="J30" s="5"/>
      <c r="K30" s="5">
        <v>201</v>
      </c>
      <c r="L30" s="5">
        <v>1</v>
      </c>
      <c r="M30" s="5">
        <v>3</v>
      </c>
      <c r="N30" s="5" t="s">
        <v>3</v>
      </c>
      <c r="O30" s="5">
        <v>2</v>
      </c>
      <c r="P30" s="5"/>
      <c r="Q30" s="5"/>
      <c r="R30" s="5"/>
      <c r="S30" s="5"/>
      <c r="T30" s="5"/>
      <c r="U30" s="5"/>
      <c r="V30" s="5"/>
      <c r="W30" s="5">
        <v>785.71999999999991</v>
      </c>
      <c r="X30" s="5">
        <v>1</v>
      </c>
      <c r="Y30" s="5">
        <v>785.71999999999991</v>
      </c>
      <c r="Z30" s="5"/>
      <c r="AA30" s="5"/>
      <c r="AB30" s="5"/>
    </row>
    <row r="31" spans="1:255" x14ac:dyDescent="0.25">
      <c r="A31" s="5">
        <v>50</v>
      </c>
      <c r="B31" s="5">
        <v>0</v>
      </c>
      <c r="C31" s="5">
        <v>0</v>
      </c>
      <c r="D31" s="5">
        <v>1</v>
      </c>
      <c r="E31" s="5">
        <v>202</v>
      </c>
      <c r="F31" s="5">
        <f>ROUND(Source!P28,O31)</f>
        <v>363.89</v>
      </c>
      <c r="G31" s="5" t="s">
        <v>40</v>
      </c>
      <c r="H31" s="5" t="s">
        <v>41</v>
      </c>
      <c r="I31" s="5"/>
      <c r="J31" s="5"/>
      <c r="K31" s="5">
        <v>202</v>
      </c>
      <c r="L31" s="5">
        <v>2</v>
      </c>
      <c r="M31" s="5">
        <v>3</v>
      </c>
      <c r="N31" s="5" t="s">
        <v>3</v>
      </c>
      <c r="O31" s="5">
        <v>2</v>
      </c>
      <c r="P31" s="5"/>
      <c r="Q31" s="5"/>
      <c r="R31" s="5"/>
      <c r="S31" s="5"/>
      <c r="T31" s="5"/>
      <c r="U31" s="5"/>
      <c r="V31" s="5"/>
      <c r="W31" s="5">
        <v>363.89</v>
      </c>
      <c r="X31" s="5">
        <v>1</v>
      </c>
      <c r="Y31" s="5">
        <v>363.89</v>
      </c>
      <c r="Z31" s="5"/>
      <c r="AA31" s="5"/>
      <c r="AB31" s="5"/>
    </row>
    <row r="32" spans="1:255" x14ac:dyDescent="0.25">
      <c r="A32" s="5">
        <v>50</v>
      </c>
      <c r="B32" s="5">
        <v>0</v>
      </c>
      <c r="C32" s="5">
        <v>0</v>
      </c>
      <c r="D32" s="5">
        <v>1</v>
      </c>
      <c r="E32" s="5">
        <v>222</v>
      </c>
      <c r="F32" s="5">
        <f>ROUND(Source!AO28,O32)</f>
        <v>0</v>
      </c>
      <c r="G32" s="5" t="s">
        <v>42</v>
      </c>
      <c r="H32" s="5" t="s">
        <v>43</v>
      </c>
      <c r="I32" s="5"/>
      <c r="J32" s="5"/>
      <c r="K32" s="5">
        <v>222</v>
      </c>
      <c r="L32" s="5">
        <v>3</v>
      </c>
      <c r="M32" s="5">
        <v>3</v>
      </c>
      <c r="N32" s="5" t="s">
        <v>3</v>
      </c>
      <c r="O32" s="5">
        <v>2</v>
      </c>
      <c r="P32" s="5"/>
      <c r="Q32" s="5"/>
      <c r="R32" s="5"/>
      <c r="S32" s="5"/>
      <c r="T32" s="5"/>
      <c r="U32" s="5"/>
      <c r="V32" s="5"/>
      <c r="W32" s="5">
        <v>0</v>
      </c>
      <c r="X32" s="5">
        <v>1</v>
      </c>
      <c r="Y32" s="5">
        <v>0</v>
      </c>
      <c r="Z32" s="5"/>
      <c r="AA32" s="5"/>
      <c r="AB32" s="5"/>
    </row>
    <row r="33" spans="1:28" x14ac:dyDescent="0.25">
      <c r="A33" s="5">
        <v>50</v>
      </c>
      <c r="B33" s="5">
        <v>0</v>
      </c>
      <c r="C33" s="5">
        <v>0</v>
      </c>
      <c r="D33" s="5">
        <v>1</v>
      </c>
      <c r="E33" s="5">
        <v>225</v>
      </c>
      <c r="F33" s="5">
        <f>ROUND(Source!AV28,O33)</f>
        <v>363.89</v>
      </c>
      <c r="G33" s="5" t="s">
        <v>44</v>
      </c>
      <c r="H33" s="5" t="s">
        <v>45</v>
      </c>
      <c r="I33" s="5"/>
      <c r="J33" s="5"/>
      <c r="K33" s="5">
        <v>225</v>
      </c>
      <c r="L33" s="5">
        <v>4</v>
      </c>
      <c r="M33" s="5">
        <v>3</v>
      </c>
      <c r="N33" s="5" t="s">
        <v>3</v>
      </c>
      <c r="O33" s="5">
        <v>2</v>
      </c>
      <c r="P33" s="5"/>
      <c r="Q33" s="5"/>
      <c r="R33" s="5"/>
      <c r="S33" s="5"/>
      <c r="T33" s="5"/>
      <c r="U33" s="5"/>
      <c r="V33" s="5"/>
      <c r="W33" s="5">
        <v>363.89</v>
      </c>
      <c r="X33" s="5">
        <v>1</v>
      </c>
      <c r="Y33" s="5">
        <v>363.89</v>
      </c>
      <c r="Z33" s="5"/>
      <c r="AA33" s="5"/>
      <c r="AB33" s="5"/>
    </row>
    <row r="34" spans="1:28" x14ac:dyDescent="0.25">
      <c r="A34" s="5">
        <v>50</v>
      </c>
      <c r="B34" s="5">
        <v>0</v>
      </c>
      <c r="C34" s="5">
        <v>0</v>
      </c>
      <c r="D34" s="5">
        <v>1</v>
      </c>
      <c r="E34" s="5">
        <v>226</v>
      </c>
      <c r="F34" s="5">
        <f>ROUND(Source!AW28,O34)</f>
        <v>363.89</v>
      </c>
      <c r="G34" s="5" t="s">
        <v>46</v>
      </c>
      <c r="H34" s="5" t="s">
        <v>47</v>
      </c>
      <c r="I34" s="5"/>
      <c r="J34" s="5"/>
      <c r="K34" s="5">
        <v>226</v>
      </c>
      <c r="L34" s="5">
        <v>5</v>
      </c>
      <c r="M34" s="5">
        <v>3</v>
      </c>
      <c r="N34" s="5" t="s">
        <v>3</v>
      </c>
      <c r="O34" s="5">
        <v>2</v>
      </c>
      <c r="P34" s="5"/>
      <c r="Q34" s="5"/>
      <c r="R34" s="5"/>
      <c r="S34" s="5"/>
      <c r="T34" s="5"/>
      <c r="U34" s="5"/>
      <c r="V34" s="5"/>
      <c r="W34" s="5">
        <v>363.89</v>
      </c>
      <c r="X34" s="5">
        <v>1</v>
      </c>
      <c r="Y34" s="5">
        <v>363.89</v>
      </c>
      <c r="Z34" s="5"/>
      <c r="AA34" s="5"/>
      <c r="AB34" s="5"/>
    </row>
    <row r="35" spans="1:28" x14ac:dyDescent="0.25">
      <c r="A35" s="5">
        <v>50</v>
      </c>
      <c r="B35" s="5">
        <v>0</v>
      </c>
      <c r="C35" s="5">
        <v>0</v>
      </c>
      <c r="D35" s="5">
        <v>1</v>
      </c>
      <c r="E35" s="5">
        <v>227</v>
      </c>
      <c r="F35" s="5">
        <f>ROUND(Source!AX28,O35)</f>
        <v>0</v>
      </c>
      <c r="G35" s="5" t="s">
        <v>48</v>
      </c>
      <c r="H35" s="5" t="s">
        <v>49</v>
      </c>
      <c r="I35" s="5"/>
      <c r="J35" s="5"/>
      <c r="K35" s="5">
        <v>227</v>
      </c>
      <c r="L35" s="5">
        <v>6</v>
      </c>
      <c r="M35" s="5">
        <v>3</v>
      </c>
      <c r="N35" s="5" t="s">
        <v>3</v>
      </c>
      <c r="O35" s="5">
        <v>2</v>
      </c>
      <c r="P35" s="5"/>
      <c r="Q35" s="5"/>
      <c r="R35" s="5"/>
      <c r="S35" s="5"/>
      <c r="T35" s="5"/>
      <c r="U35" s="5"/>
      <c r="V35" s="5"/>
      <c r="W35" s="5">
        <v>0</v>
      </c>
      <c r="X35" s="5">
        <v>1</v>
      </c>
      <c r="Y35" s="5">
        <v>0</v>
      </c>
      <c r="Z35" s="5"/>
      <c r="AA35" s="5"/>
      <c r="AB35" s="5"/>
    </row>
    <row r="36" spans="1:28" x14ac:dyDescent="0.25">
      <c r="A36" s="5">
        <v>50</v>
      </c>
      <c r="B36" s="5">
        <v>0</v>
      </c>
      <c r="C36" s="5">
        <v>0</v>
      </c>
      <c r="D36" s="5">
        <v>1</v>
      </c>
      <c r="E36" s="5">
        <v>228</v>
      </c>
      <c r="F36" s="5">
        <f>ROUND(Source!AY28,O36)</f>
        <v>363.89</v>
      </c>
      <c r="G36" s="5" t="s">
        <v>50</v>
      </c>
      <c r="H36" s="5" t="s">
        <v>51</v>
      </c>
      <c r="I36" s="5"/>
      <c r="J36" s="5"/>
      <c r="K36" s="5">
        <v>228</v>
      </c>
      <c r="L36" s="5">
        <v>7</v>
      </c>
      <c r="M36" s="5">
        <v>3</v>
      </c>
      <c r="N36" s="5" t="s">
        <v>3</v>
      </c>
      <c r="O36" s="5">
        <v>2</v>
      </c>
      <c r="P36" s="5"/>
      <c r="Q36" s="5"/>
      <c r="R36" s="5"/>
      <c r="S36" s="5"/>
      <c r="T36" s="5"/>
      <c r="U36" s="5"/>
      <c r="V36" s="5"/>
      <c r="W36" s="5">
        <v>363.89</v>
      </c>
      <c r="X36" s="5">
        <v>1</v>
      </c>
      <c r="Y36" s="5">
        <v>363.89</v>
      </c>
      <c r="Z36" s="5"/>
      <c r="AA36" s="5"/>
      <c r="AB36" s="5"/>
    </row>
    <row r="37" spans="1:28" x14ac:dyDescent="0.25">
      <c r="A37" s="5">
        <v>50</v>
      </c>
      <c r="B37" s="5">
        <v>0</v>
      </c>
      <c r="C37" s="5">
        <v>0</v>
      </c>
      <c r="D37" s="5">
        <v>1</v>
      </c>
      <c r="E37" s="5">
        <v>216</v>
      </c>
      <c r="F37" s="5">
        <f>ROUND(Source!AP28,O37)</f>
        <v>0</v>
      </c>
      <c r="G37" s="5" t="s">
        <v>52</v>
      </c>
      <c r="H37" s="5" t="s">
        <v>53</v>
      </c>
      <c r="I37" s="5"/>
      <c r="J37" s="5"/>
      <c r="K37" s="5">
        <v>216</v>
      </c>
      <c r="L37" s="5">
        <v>8</v>
      </c>
      <c r="M37" s="5">
        <v>3</v>
      </c>
      <c r="N37" s="5" t="s">
        <v>3</v>
      </c>
      <c r="O37" s="5">
        <v>2</v>
      </c>
      <c r="P37" s="5"/>
      <c r="Q37" s="5"/>
      <c r="R37" s="5"/>
      <c r="S37" s="5"/>
      <c r="T37" s="5"/>
      <c r="U37" s="5"/>
      <c r="V37" s="5"/>
      <c r="W37" s="5">
        <v>0</v>
      </c>
      <c r="X37" s="5">
        <v>1</v>
      </c>
      <c r="Y37" s="5">
        <v>0</v>
      </c>
      <c r="Z37" s="5"/>
      <c r="AA37" s="5"/>
      <c r="AB37" s="5"/>
    </row>
    <row r="38" spans="1:28" x14ac:dyDescent="0.25">
      <c r="A38" s="5">
        <v>50</v>
      </c>
      <c r="B38" s="5">
        <v>0</v>
      </c>
      <c r="C38" s="5">
        <v>0</v>
      </c>
      <c r="D38" s="5">
        <v>1</v>
      </c>
      <c r="E38" s="5">
        <v>223</v>
      </c>
      <c r="F38" s="5">
        <f>ROUND(Source!AQ28,O38)</f>
        <v>0</v>
      </c>
      <c r="G38" s="5" t="s">
        <v>54</v>
      </c>
      <c r="H38" s="5" t="s">
        <v>55</v>
      </c>
      <c r="I38" s="5"/>
      <c r="J38" s="5"/>
      <c r="K38" s="5">
        <v>223</v>
      </c>
      <c r="L38" s="5">
        <v>9</v>
      </c>
      <c r="M38" s="5">
        <v>3</v>
      </c>
      <c r="N38" s="5" t="s">
        <v>3</v>
      </c>
      <c r="O38" s="5">
        <v>2</v>
      </c>
      <c r="P38" s="5"/>
      <c r="Q38" s="5"/>
      <c r="R38" s="5"/>
      <c r="S38" s="5"/>
      <c r="T38" s="5"/>
      <c r="U38" s="5"/>
      <c r="V38" s="5"/>
      <c r="W38" s="5">
        <v>0</v>
      </c>
      <c r="X38" s="5">
        <v>1</v>
      </c>
      <c r="Y38" s="5">
        <v>0</v>
      </c>
      <c r="Z38" s="5"/>
      <c r="AA38" s="5"/>
      <c r="AB38" s="5"/>
    </row>
    <row r="39" spans="1:28" x14ac:dyDescent="0.25">
      <c r="A39" s="5">
        <v>50</v>
      </c>
      <c r="B39" s="5">
        <v>0</v>
      </c>
      <c r="C39" s="5">
        <v>0</v>
      </c>
      <c r="D39" s="5">
        <v>1</v>
      </c>
      <c r="E39" s="5">
        <v>229</v>
      </c>
      <c r="F39" s="5">
        <f>ROUND(Source!AZ28,O39)</f>
        <v>0</v>
      </c>
      <c r="G39" s="5" t="s">
        <v>56</v>
      </c>
      <c r="H39" s="5" t="s">
        <v>57</v>
      </c>
      <c r="I39" s="5"/>
      <c r="J39" s="5"/>
      <c r="K39" s="5">
        <v>229</v>
      </c>
      <c r="L39" s="5">
        <v>10</v>
      </c>
      <c r="M39" s="5">
        <v>3</v>
      </c>
      <c r="N39" s="5" t="s">
        <v>3</v>
      </c>
      <c r="O39" s="5">
        <v>2</v>
      </c>
      <c r="P39" s="5"/>
      <c r="Q39" s="5"/>
      <c r="R39" s="5"/>
      <c r="S39" s="5"/>
      <c r="T39" s="5"/>
      <c r="U39" s="5"/>
      <c r="V39" s="5"/>
      <c r="W39" s="5">
        <v>0</v>
      </c>
      <c r="X39" s="5">
        <v>1</v>
      </c>
      <c r="Y39" s="5">
        <v>0</v>
      </c>
      <c r="Z39" s="5"/>
      <c r="AA39" s="5"/>
      <c r="AB39" s="5"/>
    </row>
    <row r="40" spans="1:28" x14ac:dyDescent="0.25">
      <c r="A40" s="5">
        <v>50</v>
      </c>
      <c r="B40" s="5">
        <v>0</v>
      </c>
      <c r="C40" s="5">
        <v>0</v>
      </c>
      <c r="D40" s="5">
        <v>1</v>
      </c>
      <c r="E40" s="5">
        <v>203</v>
      </c>
      <c r="F40" s="5">
        <f>ROUND(Source!Q28,O40)</f>
        <v>180.84</v>
      </c>
      <c r="G40" s="5" t="s">
        <v>58</v>
      </c>
      <c r="H40" s="5" t="s">
        <v>59</v>
      </c>
      <c r="I40" s="5"/>
      <c r="J40" s="5"/>
      <c r="K40" s="5">
        <v>203</v>
      </c>
      <c r="L40" s="5">
        <v>11</v>
      </c>
      <c r="M40" s="5">
        <v>3</v>
      </c>
      <c r="N40" s="5" t="s">
        <v>3</v>
      </c>
      <c r="O40" s="5">
        <v>2</v>
      </c>
      <c r="P40" s="5"/>
      <c r="Q40" s="5"/>
      <c r="R40" s="5"/>
      <c r="S40" s="5"/>
      <c r="T40" s="5"/>
      <c r="U40" s="5"/>
      <c r="V40" s="5"/>
      <c r="W40" s="5">
        <v>180.83999999999997</v>
      </c>
      <c r="X40" s="5">
        <v>1</v>
      </c>
      <c r="Y40" s="5">
        <v>180.83999999999997</v>
      </c>
      <c r="Z40" s="5"/>
      <c r="AA40" s="5"/>
      <c r="AB40" s="5"/>
    </row>
    <row r="41" spans="1:28" x14ac:dyDescent="0.25">
      <c r="A41" s="5">
        <v>50</v>
      </c>
      <c r="B41" s="5">
        <v>0</v>
      </c>
      <c r="C41" s="5">
        <v>0</v>
      </c>
      <c r="D41" s="5">
        <v>1</v>
      </c>
      <c r="E41" s="5">
        <v>231</v>
      </c>
      <c r="F41" s="5">
        <f>ROUND(Source!BB28,O41)</f>
        <v>0</v>
      </c>
      <c r="G41" s="5" t="s">
        <v>60</v>
      </c>
      <c r="H41" s="5" t="s">
        <v>61</v>
      </c>
      <c r="I41" s="5"/>
      <c r="J41" s="5"/>
      <c r="K41" s="5">
        <v>231</v>
      </c>
      <c r="L41" s="5">
        <v>12</v>
      </c>
      <c r="M41" s="5">
        <v>3</v>
      </c>
      <c r="N41" s="5" t="s">
        <v>3</v>
      </c>
      <c r="O41" s="5">
        <v>2</v>
      </c>
      <c r="P41" s="5"/>
      <c r="Q41" s="5"/>
      <c r="R41" s="5"/>
      <c r="S41" s="5"/>
      <c r="T41" s="5"/>
      <c r="U41" s="5"/>
      <c r="V41" s="5"/>
      <c r="W41" s="5">
        <v>0</v>
      </c>
      <c r="X41" s="5">
        <v>1</v>
      </c>
      <c r="Y41" s="5">
        <v>0</v>
      </c>
      <c r="Z41" s="5"/>
      <c r="AA41" s="5"/>
      <c r="AB41" s="5"/>
    </row>
    <row r="42" spans="1:28" x14ac:dyDescent="0.25">
      <c r="A42" s="5">
        <v>50</v>
      </c>
      <c r="B42" s="5">
        <v>0</v>
      </c>
      <c r="C42" s="5">
        <v>0</v>
      </c>
      <c r="D42" s="5">
        <v>1</v>
      </c>
      <c r="E42" s="5">
        <v>204</v>
      </c>
      <c r="F42" s="5">
        <f>ROUND(Source!R28,O42)</f>
        <v>80.17</v>
      </c>
      <c r="G42" s="5" t="s">
        <v>62</v>
      </c>
      <c r="H42" s="5" t="s">
        <v>63</v>
      </c>
      <c r="I42" s="5"/>
      <c r="J42" s="5"/>
      <c r="K42" s="5">
        <v>204</v>
      </c>
      <c r="L42" s="5">
        <v>13</v>
      </c>
      <c r="M42" s="5">
        <v>3</v>
      </c>
      <c r="N42" s="5" t="s">
        <v>3</v>
      </c>
      <c r="O42" s="5">
        <v>2</v>
      </c>
      <c r="P42" s="5"/>
      <c r="Q42" s="5"/>
      <c r="R42" s="5"/>
      <c r="S42" s="5"/>
      <c r="T42" s="5"/>
      <c r="U42" s="5"/>
      <c r="V42" s="5"/>
      <c r="W42" s="5">
        <v>80.17</v>
      </c>
      <c r="X42" s="5">
        <v>1</v>
      </c>
      <c r="Y42" s="5">
        <v>80.17</v>
      </c>
      <c r="Z42" s="5"/>
      <c r="AA42" s="5"/>
      <c r="AB42" s="5"/>
    </row>
    <row r="43" spans="1:28" x14ac:dyDescent="0.25">
      <c r="A43" s="5">
        <v>50</v>
      </c>
      <c r="B43" s="5">
        <v>0</v>
      </c>
      <c r="C43" s="5">
        <v>0</v>
      </c>
      <c r="D43" s="5">
        <v>1</v>
      </c>
      <c r="E43" s="5">
        <v>205</v>
      </c>
      <c r="F43" s="5">
        <f>ROUND(Source!S28,O43)</f>
        <v>160.82</v>
      </c>
      <c r="G43" s="5" t="s">
        <v>64</v>
      </c>
      <c r="H43" s="5" t="s">
        <v>65</v>
      </c>
      <c r="I43" s="5"/>
      <c r="J43" s="5"/>
      <c r="K43" s="5">
        <v>205</v>
      </c>
      <c r="L43" s="5">
        <v>14</v>
      </c>
      <c r="M43" s="5">
        <v>3</v>
      </c>
      <c r="N43" s="5" t="s">
        <v>3</v>
      </c>
      <c r="O43" s="5">
        <v>2</v>
      </c>
      <c r="P43" s="5"/>
      <c r="Q43" s="5"/>
      <c r="R43" s="5"/>
      <c r="S43" s="5"/>
      <c r="T43" s="5"/>
      <c r="U43" s="5"/>
      <c r="V43" s="5"/>
      <c r="W43" s="5">
        <v>160.82</v>
      </c>
      <c r="X43" s="5">
        <v>1</v>
      </c>
      <c r="Y43" s="5">
        <v>160.82</v>
      </c>
      <c r="Z43" s="5"/>
      <c r="AA43" s="5"/>
      <c r="AB43" s="5"/>
    </row>
    <row r="44" spans="1:28" x14ac:dyDescent="0.25">
      <c r="A44" s="5">
        <v>50</v>
      </c>
      <c r="B44" s="5">
        <v>0</v>
      </c>
      <c r="C44" s="5">
        <v>0</v>
      </c>
      <c r="D44" s="5">
        <v>1</v>
      </c>
      <c r="E44" s="5">
        <v>232</v>
      </c>
      <c r="F44" s="5">
        <f>ROUND(Source!BC28,O44)</f>
        <v>0</v>
      </c>
      <c r="G44" s="5" t="s">
        <v>66</v>
      </c>
      <c r="H44" s="5" t="s">
        <v>67</v>
      </c>
      <c r="I44" s="5"/>
      <c r="J44" s="5"/>
      <c r="K44" s="5">
        <v>232</v>
      </c>
      <c r="L44" s="5">
        <v>15</v>
      </c>
      <c r="M44" s="5">
        <v>3</v>
      </c>
      <c r="N44" s="5" t="s">
        <v>3</v>
      </c>
      <c r="O44" s="5">
        <v>2</v>
      </c>
      <c r="P44" s="5"/>
      <c r="Q44" s="5"/>
      <c r="R44" s="5"/>
      <c r="S44" s="5"/>
      <c r="T44" s="5"/>
      <c r="U44" s="5"/>
      <c r="V44" s="5"/>
      <c r="W44" s="5">
        <v>0</v>
      </c>
      <c r="X44" s="5">
        <v>1</v>
      </c>
      <c r="Y44" s="5">
        <v>0</v>
      </c>
      <c r="Z44" s="5"/>
      <c r="AA44" s="5"/>
      <c r="AB44" s="5"/>
    </row>
    <row r="45" spans="1:28" x14ac:dyDescent="0.25">
      <c r="A45" s="5">
        <v>50</v>
      </c>
      <c r="B45" s="5">
        <v>0</v>
      </c>
      <c r="C45" s="5">
        <v>0</v>
      </c>
      <c r="D45" s="5">
        <v>1</v>
      </c>
      <c r="E45" s="5">
        <v>214</v>
      </c>
      <c r="F45" s="5">
        <f>ROUND(Source!AS28,O45)</f>
        <v>1132.74</v>
      </c>
      <c r="G45" s="5" t="s">
        <v>68</v>
      </c>
      <c r="H45" s="5" t="s">
        <v>69</v>
      </c>
      <c r="I45" s="5"/>
      <c r="J45" s="5"/>
      <c r="K45" s="5">
        <v>214</v>
      </c>
      <c r="L45" s="5">
        <v>16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1132.74</v>
      </c>
      <c r="X45" s="5">
        <v>1</v>
      </c>
      <c r="Y45" s="5">
        <v>1132.74</v>
      </c>
      <c r="Z45" s="5"/>
      <c r="AA45" s="5"/>
      <c r="AB45" s="5"/>
    </row>
    <row r="46" spans="1:28" x14ac:dyDescent="0.25">
      <c r="A46" s="5">
        <v>50</v>
      </c>
      <c r="B46" s="5">
        <v>0</v>
      </c>
      <c r="C46" s="5">
        <v>0</v>
      </c>
      <c r="D46" s="5">
        <v>1</v>
      </c>
      <c r="E46" s="5">
        <v>215</v>
      </c>
      <c r="F46" s="5">
        <f>ROUND(Source!AT28,O46)</f>
        <v>0</v>
      </c>
      <c r="G46" s="5" t="s">
        <v>70</v>
      </c>
      <c r="H46" s="5" t="s">
        <v>71</v>
      </c>
      <c r="I46" s="5"/>
      <c r="J46" s="5"/>
      <c r="K46" s="5">
        <v>215</v>
      </c>
      <c r="L46" s="5">
        <v>17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0</v>
      </c>
      <c r="X46" s="5">
        <v>1</v>
      </c>
      <c r="Y46" s="5">
        <v>0</v>
      </c>
      <c r="Z46" s="5"/>
      <c r="AA46" s="5"/>
      <c r="AB46" s="5"/>
    </row>
    <row r="47" spans="1:28" x14ac:dyDescent="0.25">
      <c r="A47" s="5">
        <v>50</v>
      </c>
      <c r="B47" s="5">
        <v>0</v>
      </c>
      <c r="C47" s="5">
        <v>0</v>
      </c>
      <c r="D47" s="5">
        <v>1</v>
      </c>
      <c r="E47" s="5">
        <v>217</v>
      </c>
      <c r="F47" s="5">
        <f>ROUND(Source!AU28,O47)</f>
        <v>0</v>
      </c>
      <c r="G47" s="5" t="s">
        <v>72</v>
      </c>
      <c r="H47" s="5" t="s">
        <v>73</v>
      </c>
      <c r="I47" s="5"/>
      <c r="J47" s="5"/>
      <c r="K47" s="5">
        <v>217</v>
      </c>
      <c r="L47" s="5">
        <v>18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0</v>
      </c>
      <c r="X47" s="5">
        <v>1</v>
      </c>
      <c r="Y47" s="5">
        <v>0</v>
      </c>
      <c r="Z47" s="5"/>
      <c r="AA47" s="5"/>
      <c r="AB47" s="5"/>
    </row>
    <row r="48" spans="1:28" x14ac:dyDescent="0.25">
      <c r="A48" s="5">
        <v>50</v>
      </c>
      <c r="B48" s="5">
        <v>0</v>
      </c>
      <c r="C48" s="5">
        <v>0</v>
      </c>
      <c r="D48" s="5">
        <v>1</v>
      </c>
      <c r="E48" s="5">
        <v>230</v>
      </c>
      <c r="F48" s="5">
        <f>ROUND(Source!BA28,O48)</f>
        <v>0</v>
      </c>
      <c r="G48" s="5" t="s">
        <v>74</v>
      </c>
      <c r="H48" s="5" t="s">
        <v>75</v>
      </c>
      <c r="I48" s="5"/>
      <c r="J48" s="5"/>
      <c r="K48" s="5">
        <v>230</v>
      </c>
      <c r="L48" s="5">
        <v>19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0</v>
      </c>
      <c r="X48" s="5">
        <v>1</v>
      </c>
      <c r="Y48" s="5">
        <v>0</v>
      </c>
      <c r="Z48" s="5"/>
      <c r="AA48" s="5"/>
      <c r="AB48" s="5"/>
    </row>
    <row r="49" spans="1:206" x14ac:dyDescent="0.25">
      <c r="A49" s="5">
        <v>50</v>
      </c>
      <c r="B49" s="5">
        <v>0</v>
      </c>
      <c r="C49" s="5">
        <v>0</v>
      </c>
      <c r="D49" s="5">
        <v>1</v>
      </c>
      <c r="E49" s="5">
        <v>206</v>
      </c>
      <c r="F49" s="5">
        <f>ROUND(Source!T28,O49)</f>
        <v>0</v>
      </c>
      <c r="G49" s="5" t="s">
        <v>76</v>
      </c>
      <c r="H49" s="5" t="s">
        <v>77</v>
      </c>
      <c r="I49" s="5"/>
      <c r="J49" s="5"/>
      <c r="K49" s="5">
        <v>206</v>
      </c>
      <c r="L49" s="5">
        <v>20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0</v>
      </c>
      <c r="X49" s="5">
        <v>1</v>
      </c>
      <c r="Y49" s="5">
        <v>0</v>
      </c>
      <c r="Z49" s="5"/>
      <c r="AA49" s="5"/>
      <c r="AB49" s="5"/>
    </row>
    <row r="50" spans="1:206" x14ac:dyDescent="0.25">
      <c r="A50" s="5">
        <v>50</v>
      </c>
      <c r="B50" s="5">
        <v>0</v>
      </c>
      <c r="C50" s="5">
        <v>0</v>
      </c>
      <c r="D50" s="5">
        <v>1</v>
      </c>
      <c r="E50" s="5">
        <v>207</v>
      </c>
      <c r="F50" s="5">
        <f>ROUND(Source!U28,O50)</f>
        <v>0.29360000000000003</v>
      </c>
      <c r="G50" s="5" t="s">
        <v>78</v>
      </c>
      <c r="H50" s="5" t="s">
        <v>79</v>
      </c>
      <c r="I50" s="5"/>
      <c r="J50" s="5"/>
      <c r="K50" s="5">
        <v>207</v>
      </c>
      <c r="L50" s="5">
        <v>21</v>
      </c>
      <c r="M50" s="5">
        <v>3</v>
      </c>
      <c r="N50" s="5" t="s">
        <v>3</v>
      </c>
      <c r="O50" s="5">
        <v>7</v>
      </c>
      <c r="P50" s="5"/>
      <c r="Q50" s="5"/>
      <c r="R50" s="5"/>
      <c r="S50" s="5"/>
      <c r="T50" s="5"/>
      <c r="U50" s="5"/>
      <c r="V50" s="5"/>
      <c r="W50" s="5">
        <v>0.29360000000000003</v>
      </c>
      <c r="X50" s="5">
        <v>1</v>
      </c>
      <c r="Y50" s="5">
        <v>0.29360000000000003</v>
      </c>
      <c r="Z50" s="5"/>
      <c r="AA50" s="5"/>
      <c r="AB50" s="5"/>
    </row>
    <row r="51" spans="1:206" x14ac:dyDescent="0.25">
      <c r="A51" s="5">
        <v>50</v>
      </c>
      <c r="B51" s="5">
        <v>0</v>
      </c>
      <c r="C51" s="5">
        <v>0</v>
      </c>
      <c r="D51" s="5">
        <v>1</v>
      </c>
      <c r="E51" s="5">
        <v>208</v>
      </c>
      <c r="F51" s="5">
        <f>ROUND(Source!V28,O51)</f>
        <v>0.1182</v>
      </c>
      <c r="G51" s="5" t="s">
        <v>80</v>
      </c>
      <c r="H51" s="5" t="s">
        <v>81</v>
      </c>
      <c r="I51" s="5"/>
      <c r="J51" s="5"/>
      <c r="K51" s="5">
        <v>208</v>
      </c>
      <c r="L51" s="5">
        <v>22</v>
      </c>
      <c r="M51" s="5">
        <v>3</v>
      </c>
      <c r="N51" s="5" t="s">
        <v>3</v>
      </c>
      <c r="O51" s="5">
        <v>7</v>
      </c>
      <c r="P51" s="5"/>
      <c r="Q51" s="5"/>
      <c r="R51" s="5"/>
      <c r="S51" s="5"/>
      <c r="T51" s="5"/>
      <c r="U51" s="5"/>
      <c r="V51" s="5"/>
      <c r="W51" s="5">
        <v>0.1182</v>
      </c>
      <c r="X51" s="5">
        <v>1</v>
      </c>
      <c r="Y51" s="5">
        <v>0.1182</v>
      </c>
      <c r="Z51" s="5"/>
      <c r="AA51" s="5"/>
      <c r="AB51" s="5"/>
    </row>
    <row r="52" spans="1:206" x14ac:dyDescent="0.25">
      <c r="A52" s="5">
        <v>50</v>
      </c>
      <c r="B52" s="5">
        <v>0</v>
      </c>
      <c r="C52" s="5">
        <v>0</v>
      </c>
      <c r="D52" s="5">
        <v>1</v>
      </c>
      <c r="E52" s="5">
        <v>209</v>
      </c>
      <c r="F52" s="5">
        <f>ROUND(Source!W28,O52)</f>
        <v>0</v>
      </c>
      <c r="G52" s="5" t="s">
        <v>82</v>
      </c>
      <c r="H52" s="5" t="s">
        <v>83</v>
      </c>
      <c r="I52" s="5"/>
      <c r="J52" s="5"/>
      <c r="K52" s="5">
        <v>209</v>
      </c>
      <c r="L52" s="5">
        <v>23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06" x14ac:dyDescent="0.25">
      <c r="A53" s="5">
        <v>50</v>
      </c>
      <c r="B53" s="5">
        <v>0</v>
      </c>
      <c r="C53" s="5">
        <v>0</v>
      </c>
      <c r="D53" s="5">
        <v>1</v>
      </c>
      <c r="E53" s="5">
        <v>233</v>
      </c>
      <c r="F53" s="5">
        <f>ROUND(Source!BD28,O53)</f>
        <v>0</v>
      </c>
      <c r="G53" s="5" t="s">
        <v>84</v>
      </c>
      <c r="H53" s="5" t="s">
        <v>85</v>
      </c>
      <c r="I53" s="5"/>
      <c r="J53" s="5"/>
      <c r="K53" s="5">
        <v>233</v>
      </c>
      <c r="L53" s="5">
        <v>24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/>
      <c r="AA53" s="5"/>
      <c r="AB53" s="5"/>
    </row>
    <row r="54" spans="1:206" x14ac:dyDescent="0.25">
      <c r="A54" s="5">
        <v>50</v>
      </c>
      <c r="B54" s="5">
        <v>0</v>
      </c>
      <c r="C54" s="5">
        <v>0</v>
      </c>
      <c r="D54" s="5">
        <v>1</v>
      </c>
      <c r="E54" s="5">
        <v>210</v>
      </c>
      <c r="F54" s="5">
        <f>ROUND(Source!X28,O54)</f>
        <v>221.71</v>
      </c>
      <c r="G54" s="5" t="s">
        <v>86</v>
      </c>
      <c r="H54" s="5" t="s">
        <v>87</v>
      </c>
      <c r="I54" s="5"/>
      <c r="J54" s="5"/>
      <c r="K54" s="5">
        <v>210</v>
      </c>
      <c r="L54" s="5">
        <v>25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221.71</v>
      </c>
      <c r="X54" s="5">
        <v>1</v>
      </c>
      <c r="Y54" s="5">
        <v>221.71</v>
      </c>
      <c r="Z54" s="5"/>
      <c r="AA54" s="5"/>
      <c r="AB54" s="5"/>
    </row>
    <row r="55" spans="1:206" x14ac:dyDescent="0.25">
      <c r="A55" s="5">
        <v>50</v>
      </c>
      <c r="B55" s="5">
        <v>0</v>
      </c>
      <c r="C55" s="5">
        <v>0</v>
      </c>
      <c r="D55" s="5">
        <v>1</v>
      </c>
      <c r="E55" s="5">
        <v>211</v>
      </c>
      <c r="F55" s="5">
        <f>ROUND(Source!Y28,O55)</f>
        <v>125.31</v>
      </c>
      <c r="G55" s="5" t="s">
        <v>88</v>
      </c>
      <c r="H55" s="5" t="s">
        <v>89</v>
      </c>
      <c r="I55" s="5"/>
      <c r="J55" s="5"/>
      <c r="K55" s="5">
        <v>211</v>
      </c>
      <c r="L55" s="5">
        <v>26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125.31</v>
      </c>
      <c r="X55" s="5">
        <v>1</v>
      </c>
      <c r="Y55" s="5">
        <v>125.31</v>
      </c>
      <c r="Z55" s="5"/>
      <c r="AA55" s="5"/>
      <c r="AB55" s="5"/>
    </row>
    <row r="56" spans="1:206" x14ac:dyDescent="0.25">
      <c r="A56" s="5">
        <v>50</v>
      </c>
      <c r="B56" s="5">
        <v>0</v>
      </c>
      <c r="C56" s="5">
        <v>0</v>
      </c>
      <c r="D56" s="5">
        <v>1</v>
      </c>
      <c r="E56" s="5">
        <v>224</v>
      </c>
      <c r="F56" s="5">
        <f>ROUND(Source!AR28,O56)</f>
        <v>1132.74</v>
      </c>
      <c r="G56" s="5" t="s">
        <v>90</v>
      </c>
      <c r="H56" s="5" t="s">
        <v>91</v>
      </c>
      <c r="I56" s="5"/>
      <c r="J56" s="5"/>
      <c r="K56" s="5">
        <v>224</v>
      </c>
      <c r="L56" s="5">
        <v>27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1132.74</v>
      </c>
      <c r="X56" s="5">
        <v>1</v>
      </c>
      <c r="Y56" s="5">
        <v>1132.74</v>
      </c>
      <c r="Z56" s="5"/>
      <c r="AA56" s="5"/>
      <c r="AB56" s="5"/>
    </row>
    <row r="58" spans="1:206" x14ac:dyDescent="0.25">
      <c r="A58" s="3">
        <v>51</v>
      </c>
      <c r="B58" s="3">
        <f>B12</f>
        <v>117</v>
      </c>
      <c r="C58" s="3">
        <f>A12</f>
        <v>1</v>
      </c>
      <c r="D58" s="3">
        <f>ROW(A12)</f>
        <v>12</v>
      </c>
      <c r="E58" s="3"/>
      <c r="F58" s="3" t="str">
        <f>IF(F12&lt;&gt;"",F12,"")</f>
        <v>Новый объект</v>
      </c>
      <c r="G58" s="3" t="str">
        <f>IF(G12&lt;&gt;"",G12,"")</f>
        <v>Текущий ремонт межпанельных швов на 1 мп</v>
      </c>
      <c r="H58" s="3">
        <v>0</v>
      </c>
      <c r="I58" s="3"/>
      <c r="J58" s="3"/>
      <c r="K58" s="3"/>
      <c r="L58" s="3"/>
      <c r="M58" s="3"/>
      <c r="N58" s="3"/>
      <c r="O58" s="3">
        <f t="shared" ref="O58:T58" si="17">ROUND(O28,2)</f>
        <v>785.72</v>
      </c>
      <c r="P58" s="3">
        <f t="shared" si="17"/>
        <v>363.89</v>
      </c>
      <c r="Q58" s="3">
        <f t="shared" si="17"/>
        <v>180.84</v>
      </c>
      <c r="R58" s="3">
        <f t="shared" si="17"/>
        <v>80.17</v>
      </c>
      <c r="S58" s="3">
        <f t="shared" si="17"/>
        <v>160.82</v>
      </c>
      <c r="T58" s="3">
        <f t="shared" si="17"/>
        <v>0</v>
      </c>
      <c r="U58" s="3">
        <f>U28</f>
        <v>0.29360000000000003</v>
      </c>
      <c r="V58" s="3">
        <f>V28</f>
        <v>0.1182</v>
      </c>
      <c r="W58" s="3">
        <f>ROUND(W28,2)</f>
        <v>0</v>
      </c>
      <c r="X58" s="3">
        <f>ROUND(X28,2)</f>
        <v>221.71</v>
      </c>
      <c r="Y58" s="3">
        <f>ROUND(Y28,2)</f>
        <v>125.31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>
        <f t="shared" ref="AO58:BD58" si="18">ROUND(AO28,2)</f>
        <v>0</v>
      </c>
      <c r="AP58" s="3">
        <f t="shared" si="18"/>
        <v>0</v>
      </c>
      <c r="AQ58" s="3">
        <f t="shared" si="18"/>
        <v>0</v>
      </c>
      <c r="AR58" s="3">
        <f t="shared" si="18"/>
        <v>1132.74</v>
      </c>
      <c r="AS58" s="3">
        <f t="shared" si="18"/>
        <v>1132.74</v>
      </c>
      <c r="AT58" s="3">
        <f t="shared" si="18"/>
        <v>0</v>
      </c>
      <c r="AU58" s="3">
        <f t="shared" si="18"/>
        <v>0</v>
      </c>
      <c r="AV58" s="3">
        <f t="shared" si="18"/>
        <v>363.89</v>
      </c>
      <c r="AW58" s="3">
        <f t="shared" si="18"/>
        <v>363.89</v>
      </c>
      <c r="AX58" s="3">
        <f t="shared" si="18"/>
        <v>0</v>
      </c>
      <c r="AY58" s="3">
        <f t="shared" si="18"/>
        <v>363.89</v>
      </c>
      <c r="AZ58" s="3">
        <f t="shared" si="18"/>
        <v>0</v>
      </c>
      <c r="BA58" s="3">
        <f t="shared" si="18"/>
        <v>0</v>
      </c>
      <c r="BB58" s="3">
        <f t="shared" si="18"/>
        <v>0</v>
      </c>
      <c r="BC58" s="3">
        <f t="shared" si="18"/>
        <v>0</v>
      </c>
      <c r="BD58" s="3">
        <f t="shared" si="18"/>
        <v>0</v>
      </c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>
        <v>0</v>
      </c>
    </row>
    <row r="60" spans="1:206" x14ac:dyDescent="0.25">
      <c r="A60" s="5">
        <v>50</v>
      </c>
      <c r="B60" s="5">
        <v>0</v>
      </c>
      <c r="C60" s="5">
        <v>0</v>
      </c>
      <c r="D60" s="5">
        <v>1</v>
      </c>
      <c r="E60" s="5">
        <v>201</v>
      </c>
      <c r="F60" s="5">
        <f>ROUND(Source!O58,O60)</f>
        <v>785.72</v>
      </c>
      <c r="G60" s="5" t="s">
        <v>38</v>
      </c>
      <c r="H60" s="5" t="s">
        <v>39</v>
      </c>
      <c r="I60" s="5"/>
      <c r="J60" s="5"/>
      <c r="K60" s="5">
        <v>201</v>
      </c>
      <c r="L60" s="5">
        <v>1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785.71999999999991</v>
      </c>
      <c r="X60" s="5">
        <v>1</v>
      </c>
      <c r="Y60" s="5">
        <v>785.71999999999991</v>
      </c>
      <c r="Z60" s="5"/>
      <c r="AA60" s="5"/>
      <c r="AB60" s="5"/>
    </row>
    <row r="61" spans="1:206" x14ac:dyDescent="0.25">
      <c r="A61" s="5">
        <v>50</v>
      </c>
      <c r="B61" s="5">
        <v>0</v>
      </c>
      <c r="C61" s="5">
        <v>0</v>
      </c>
      <c r="D61" s="5">
        <v>1</v>
      </c>
      <c r="E61" s="5">
        <v>202</v>
      </c>
      <c r="F61" s="5">
        <f>ROUND(Source!P58,O61)</f>
        <v>363.89</v>
      </c>
      <c r="G61" s="5" t="s">
        <v>40</v>
      </c>
      <c r="H61" s="5" t="s">
        <v>41</v>
      </c>
      <c r="I61" s="5"/>
      <c r="J61" s="5"/>
      <c r="K61" s="5">
        <v>202</v>
      </c>
      <c r="L61" s="5">
        <v>2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363.89</v>
      </c>
      <c r="X61" s="5">
        <v>1</v>
      </c>
      <c r="Y61" s="5">
        <v>363.89</v>
      </c>
      <c r="Z61" s="5"/>
      <c r="AA61" s="5"/>
      <c r="AB61" s="5"/>
    </row>
    <row r="62" spans="1:206" x14ac:dyDescent="0.25">
      <c r="A62" s="5">
        <v>50</v>
      </c>
      <c r="B62" s="5">
        <v>0</v>
      </c>
      <c r="C62" s="5">
        <v>0</v>
      </c>
      <c r="D62" s="5">
        <v>1</v>
      </c>
      <c r="E62" s="5">
        <v>222</v>
      </c>
      <c r="F62" s="5">
        <f>ROUND(Source!AO58,O62)</f>
        <v>0</v>
      </c>
      <c r="G62" s="5" t="s">
        <v>42</v>
      </c>
      <c r="H62" s="5" t="s">
        <v>43</v>
      </c>
      <c r="I62" s="5"/>
      <c r="J62" s="5"/>
      <c r="K62" s="5">
        <v>222</v>
      </c>
      <c r="L62" s="5">
        <v>3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/>
      <c r="AA62" s="5"/>
      <c r="AB62" s="5"/>
    </row>
    <row r="63" spans="1:206" x14ac:dyDescent="0.25">
      <c r="A63" s="5">
        <v>50</v>
      </c>
      <c r="B63" s="5">
        <v>0</v>
      </c>
      <c r="C63" s="5">
        <v>0</v>
      </c>
      <c r="D63" s="5">
        <v>1</v>
      </c>
      <c r="E63" s="5">
        <v>225</v>
      </c>
      <c r="F63" s="5">
        <f>ROUND(Source!AV58,O63)</f>
        <v>363.89</v>
      </c>
      <c r="G63" s="5" t="s">
        <v>44</v>
      </c>
      <c r="H63" s="5" t="s">
        <v>45</v>
      </c>
      <c r="I63" s="5"/>
      <c r="J63" s="5"/>
      <c r="K63" s="5">
        <v>225</v>
      </c>
      <c r="L63" s="5">
        <v>4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363.89</v>
      </c>
      <c r="X63" s="5">
        <v>1</v>
      </c>
      <c r="Y63" s="5">
        <v>363.89</v>
      </c>
      <c r="Z63" s="5"/>
      <c r="AA63" s="5"/>
      <c r="AB63" s="5"/>
    </row>
    <row r="64" spans="1:206" x14ac:dyDescent="0.25">
      <c r="A64" s="5">
        <v>50</v>
      </c>
      <c r="B64" s="5">
        <v>0</v>
      </c>
      <c r="C64" s="5">
        <v>0</v>
      </c>
      <c r="D64" s="5">
        <v>1</v>
      </c>
      <c r="E64" s="5">
        <v>226</v>
      </c>
      <c r="F64" s="5">
        <f>ROUND(Source!AW58,O64)</f>
        <v>363.89</v>
      </c>
      <c r="G64" s="5" t="s">
        <v>46</v>
      </c>
      <c r="H64" s="5" t="s">
        <v>47</v>
      </c>
      <c r="I64" s="5"/>
      <c r="J64" s="5"/>
      <c r="K64" s="5">
        <v>226</v>
      </c>
      <c r="L64" s="5">
        <v>5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363.89</v>
      </c>
      <c r="X64" s="5">
        <v>1</v>
      </c>
      <c r="Y64" s="5">
        <v>363.89</v>
      </c>
      <c r="Z64" s="5"/>
      <c r="AA64" s="5"/>
      <c r="AB64" s="5"/>
    </row>
    <row r="65" spans="1:28" x14ac:dyDescent="0.25">
      <c r="A65" s="5">
        <v>50</v>
      </c>
      <c r="B65" s="5">
        <v>0</v>
      </c>
      <c r="C65" s="5">
        <v>0</v>
      </c>
      <c r="D65" s="5">
        <v>1</v>
      </c>
      <c r="E65" s="5">
        <v>227</v>
      </c>
      <c r="F65" s="5">
        <f>ROUND(Source!AX58,O65)</f>
        <v>0</v>
      </c>
      <c r="G65" s="5" t="s">
        <v>48</v>
      </c>
      <c r="H65" s="5" t="s">
        <v>49</v>
      </c>
      <c r="I65" s="5"/>
      <c r="J65" s="5"/>
      <c r="K65" s="5">
        <v>227</v>
      </c>
      <c r="L65" s="5">
        <v>6</v>
      </c>
      <c r="M65" s="5">
        <v>3</v>
      </c>
      <c r="N65" s="5" t="s">
        <v>3</v>
      </c>
      <c r="O65" s="5">
        <v>2</v>
      </c>
      <c r="P65" s="5"/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/>
      <c r="AA65" s="5"/>
      <c r="AB65" s="5"/>
    </row>
    <row r="66" spans="1:28" x14ac:dyDescent="0.25">
      <c r="A66" s="5">
        <v>50</v>
      </c>
      <c r="B66" s="5">
        <v>0</v>
      </c>
      <c r="C66" s="5">
        <v>0</v>
      </c>
      <c r="D66" s="5">
        <v>1</v>
      </c>
      <c r="E66" s="5">
        <v>228</v>
      </c>
      <c r="F66" s="5">
        <f>ROUND(Source!AY58,O66)</f>
        <v>363.89</v>
      </c>
      <c r="G66" s="5" t="s">
        <v>50</v>
      </c>
      <c r="H66" s="5" t="s">
        <v>51</v>
      </c>
      <c r="I66" s="5"/>
      <c r="J66" s="5"/>
      <c r="K66" s="5">
        <v>228</v>
      </c>
      <c r="L66" s="5">
        <v>7</v>
      </c>
      <c r="M66" s="5">
        <v>3</v>
      </c>
      <c r="N66" s="5" t="s">
        <v>3</v>
      </c>
      <c r="O66" s="5">
        <v>2</v>
      </c>
      <c r="P66" s="5"/>
      <c r="Q66" s="5"/>
      <c r="R66" s="5"/>
      <c r="S66" s="5"/>
      <c r="T66" s="5"/>
      <c r="U66" s="5"/>
      <c r="V66" s="5"/>
      <c r="W66" s="5">
        <v>363.89</v>
      </c>
      <c r="X66" s="5">
        <v>1</v>
      </c>
      <c r="Y66" s="5">
        <v>363.89</v>
      </c>
      <c r="Z66" s="5"/>
      <c r="AA66" s="5"/>
      <c r="AB66" s="5"/>
    </row>
    <row r="67" spans="1:28" x14ac:dyDescent="0.25">
      <c r="A67" s="5">
        <v>50</v>
      </c>
      <c r="B67" s="5">
        <v>0</v>
      </c>
      <c r="C67" s="5">
        <v>0</v>
      </c>
      <c r="D67" s="5">
        <v>1</v>
      </c>
      <c r="E67" s="5">
        <v>216</v>
      </c>
      <c r="F67" s="5">
        <f>ROUND(Source!AP58,O67)</f>
        <v>0</v>
      </c>
      <c r="G67" s="5" t="s">
        <v>52</v>
      </c>
      <c r="H67" s="5" t="s">
        <v>53</v>
      </c>
      <c r="I67" s="5"/>
      <c r="J67" s="5"/>
      <c r="K67" s="5">
        <v>216</v>
      </c>
      <c r="L67" s="5">
        <v>8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0</v>
      </c>
      <c r="X67" s="5">
        <v>1</v>
      </c>
      <c r="Y67" s="5">
        <v>0</v>
      </c>
      <c r="Z67" s="5"/>
      <c r="AA67" s="5"/>
      <c r="AB67" s="5"/>
    </row>
    <row r="68" spans="1:28" x14ac:dyDescent="0.25">
      <c r="A68" s="5">
        <v>50</v>
      </c>
      <c r="B68" s="5">
        <v>0</v>
      </c>
      <c r="C68" s="5">
        <v>0</v>
      </c>
      <c r="D68" s="5">
        <v>1</v>
      </c>
      <c r="E68" s="5">
        <v>223</v>
      </c>
      <c r="F68" s="5">
        <f>ROUND(Source!AQ58,O68)</f>
        <v>0</v>
      </c>
      <c r="G68" s="5" t="s">
        <v>54</v>
      </c>
      <c r="H68" s="5" t="s">
        <v>55</v>
      </c>
      <c r="I68" s="5"/>
      <c r="J68" s="5"/>
      <c r="K68" s="5">
        <v>223</v>
      </c>
      <c r="L68" s="5">
        <v>9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/>
      <c r="AA68" s="5"/>
      <c r="AB68" s="5"/>
    </row>
    <row r="69" spans="1:28" x14ac:dyDescent="0.25">
      <c r="A69" s="5">
        <v>50</v>
      </c>
      <c r="B69" s="5">
        <v>0</v>
      </c>
      <c r="C69" s="5">
        <v>0</v>
      </c>
      <c r="D69" s="5">
        <v>1</v>
      </c>
      <c r="E69" s="5">
        <v>229</v>
      </c>
      <c r="F69" s="5">
        <f>ROUND(Source!AZ58,O69)</f>
        <v>0</v>
      </c>
      <c r="G69" s="5" t="s">
        <v>56</v>
      </c>
      <c r="H69" s="5" t="s">
        <v>57</v>
      </c>
      <c r="I69" s="5"/>
      <c r="J69" s="5"/>
      <c r="K69" s="5">
        <v>229</v>
      </c>
      <c r="L69" s="5">
        <v>10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0</v>
      </c>
      <c r="X69" s="5">
        <v>1</v>
      </c>
      <c r="Y69" s="5">
        <v>0</v>
      </c>
      <c r="Z69" s="5"/>
      <c r="AA69" s="5"/>
      <c r="AB69" s="5"/>
    </row>
    <row r="70" spans="1:28" x14ac:dyDescent="0.25">
      <c r="A70" s="5">
        <v>50</v>
      </c>
      <c r="B70" s="5">
        <v>0</v>
      </c>
      <c r="C70" s="5">
        <v>0</v>
      </c>
      <c r="D70" s="5">
        <v>1</v>
      </c>
      <c r="E70" s="5">
        <v>203</v>
      </c>
      <c r="F70" s="5">
        <f>ROUND(Source!Q58,O70)</f>
        <v>180.84</v>
      </c>
      <c r="G70" s="5" t="s">
        <v>58</v>
      </c>
      <c r="H70" s="5" t="s">
        <v>59</v>
      </c>
      <c r="I70" s="5"/>
      <c r="J70" s="5"/>
      <c r="K70" s="5">
        <v>203</v>
      </c>
      <c r="L70" s="5">
        <v>11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180.83999999999997</v>
      </c>
      <c r="X70" s="5">
        <v>1</v>
      </c>
      <c r="Y70" s="5">
        <v>180.83999999999997</v>
      </c>
      <c r="Z70" s="5"/>
      <c r="AA70" s="5"/>
      <c r="AB70" s="5"/>
    </row>
    <row r="71" spans="1:28" x14ac:dyDescent="0.25">
      <c r="A71" s="5">
        <v>50</v>
      </c>
      <c r="B71" s="5">
        <v>0</v>
      </c>
      <c r="C71" s="5">
        <v>0</v>
      </c>
      <c r="D71" s="5">
        <v>1</v>
      </c>
      <c r="E71" s="5">
        <v>231</v>
      </c>
      <c r="F71" s="5">
        <f>ROUND(Source!BB58,O71)</f>
        <v>0</v>
      </c>
      <c r="G71" s="5" t="s">
        <v>60</v>
      </c>
      <c r="H71" s="5" t="s">
        <v>61</v>
      </c>
      <c r="I71" s="5"/>
      <c r="J71" s="5"/>
      <c r="K71" s="5">
        <v>231</v>
      </c>
      <c r="L71" s="5">
        <v>12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/>
      <c r="AA71" s="5"/>
      <c r="AB71" s="5"/>
    </row>
    <row r="72" spans="1:28" x14ac:dyDescent="0.25">
      <c r="A72" s="5">
        <v>50</v>
      </c>
      <c r="B72" s="5">
        <v>0</v>
      </c>
      <c r="C72" s="5">
        <v>0</v>
      </c>
      <c r="D72" s="5">
        <v>1</v>
      </c>
      <c r="E72" s="5">
        <v>204</v>
      </c>
      <c r="F72" s="5">
        <f>ROUND(Source!R58,O72)</f>
        <v>80.17</v>
      </c>
      <c r="G72" s="5" t="s">
        <v>62</v>
      </c>
      <c r="H72" s="5" t="s">
        <v>63</v>
      </c>
      <c r="I72" s="5"/>
      <c r="J72" s="5"/>
      <c r="K72" s="5">
        <v>204</v>
      </c>
      <c r="L72" s="5">
        <v>13</v>
      </c>
      <c r="M72" s="5">
        <v>3</v>
      </c>
      <c r="N72" s="5" t="s">
        <v>3</v>
      </c>
      <c r="O72" s="5">
        <v>2</v>
      </c>
      <c r="P72" s="5"/>
      <c r="Q72" s="5"/>
      <c r="R72" s="5"/>
      <c r="S72" s="5"/>
      <c r="T72" s="5"/>
      <c r="U72" s="5"/>
      <c r="V72" s="5"/>
      <c r="W72" s="5">
        <v>80.17</v>
      </c>
      <c r="X72" s="5">
        <v>1</v>
      </c>
      <c r="Y72" s="5">
        <v>80.17</v>
      </c>
      <c r="Z72" s="5"/>
      <c r="AA72" s="5"/>
      <c r="AB72" s="5"/>
    </row>
    <row r="73" spans="1:28" x14ac:dyDescent="0.25">
      <c r="A73" s="5">
        <v>50</v>
      </c>
      <c r="B73" s="5">
        <v>0</v>
      </c>
      <c r="C73" s="5">
        <v>0</v>
      </c>
      <c r="D73" s="5">
        <v>1</v>
      </c>
      <c r="E73" s="5">
        <v>205</v>
      </c>
      <c r="F73" s="5">
        <f>ROUND(Source!S58,O73)</f>
        <v>160.82</v>
      </c>
      <c r="G73" s="5" t="s">
        <v>64</v>
      </c>
      <c r="H73" s="5" t="s">
        <v>65</v>
      </c>
      <c r="I73" s="5"/>
      <c r="J73" s="5"/>
      <c r="K73" s="5">
        <v>205</v>
      </c>
      <c r="L73" s="5">
        <v>14</v>
      </c>
      <c r="M73" s="5">
        <v>3</v>
      </c>
      <c r="N73" s="5" t="s">
        <v>3</v>
      </c>
      <c r="O73" s="5">
        <v>2</v>
      </c>
      <c r="P73" s="5"/>
      <c r="Q73" s="5"/>
      <c r="R73" s="5"/>
      <c r="S73" s="5"/>
      <c r="T73" s="5"/>
      <c r="U73" s="5"/>
      <c r="V73" s="5"/>
      <c r="W73" s="5">
        <v>160.82</v>
      </c>
      <c r="X73" s="5">
        <v>1</v>
      </c>
      <c r="Y73" s="5">
        <v>160.82</v>
      </c>
      <c r="Z73" s="5"/>
      <c r="AA73" s="5"/>
      <c r="AB73" s="5"/>
    </row>
    <row r="74" spans="1:28" x14ac:dyDescent="0.25">
      <c r="A74" s="5">
        <v>50</v>
      </c>
      <c r="B74" s="5">
        <v>0</v>
      </c>
      <c r="C74" s="5">
        <v>0</v>
      </c>
      <c r="D74" s="5">
        <v>1</v>
      </c>
      <c r="E74" s="5">
        <v>232</v>
      </c>
      <c r="F74" s="5">
        <f>ROUND(Source!BC58,O74)</f>
        <v>0</v>
      </c>
      <c r="G74" s="5" t="s">
        <v>66</v>
      </c>
      <c r="H74" s="5" t="s">
        <v>67</v>
      </c>
      <c r="I74" s="5"/>
      <c r="J74" s="5"/>
      <c r="K74" s="5">
        <v>232</v>
      </c>
      <c r="L74" s="5">
        <v>15</v>
      </c>
      <c r="M74" s="5">
        <v>3</v>
      </c>
      <c r="N74" s="5" t="s">
        <v>3</v>
      </c>
      <c r="O74" s="5">
        <v>2</v>
      </c>
      <c r="P74" s="5"/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/>
      <c r="AA74" s="5"/>
      <c r="AB74" s="5"/>
    </row>
    <row r="75" spans="1:28" x14ac:dyDescent="0.25">
      <c r="A75" s="5">
        <v>50</v>
      </c>
      <c r="B75" s="5">
        <v>0</v>
      </c>
      <c r="C75" s="5">
        <v>0</v>
      </c>
      <c r="D75" s="5">
        <v>1</v>
      </c>
      <c r="E75" s="5">
        <v>214</v>
      </c>
      <c r="F75" s="5">
        <f>ROUND(Source!AS58,O75)</f>
        <v>1132.74</v>
      </c>
      <c r="G75" s="5" t="s">
        <v>68</v>
      </c>
      <c r="H75" s="5" t="s">
        <v>69</v>
      </c>
      <c r="I75" s="5"/>
      <c r="J75" s="5"/>
      <c r="K75" s="5">
        <v>214</v>
      </c>
      <c r="L75" s="5">
        <v>16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1132.74</v>
      </c>
      <c r="X75" s="5">
        <v>1</v>
      </c>
      <c r="Y75" s="5">
        <v>1132.74</v>
      </c>
      <c r="Z75" s="5"/>
      <c r="AA75" s="5"/>
      <c r="AB75" s="5"/>
    </row>
    <row r="76" spans="1:28" x14ac:dyDescent="0.25">
      <c r="A76" s="5">
        <v>50</v>
      </c>
      <c r="B76" s="5">
        <v>0</v>
      </c>
      <c r="C76" s="5">
        <v>0</v>
      </c>
      <c r="D76" s="5">
        <v>1</v>
      </c>
      <c r="E76" s="5">
        <v>215</v>
      </c>
      <c r="F76" s="5">
        <f>ROUND(Source!AT58,O76)</f>
        <v>0</v>
      </c>
      <c r="G76" s="5" t="s">
        <v>70</v>
      </c>
      <c r="H76" s="5" t="s">
        <v>71</v>
      </c>
      <c r="I76" s="5"/>
      <c r="J76" s="5"/>
      <c r="K76" s="5">
        <v>215</v>
      </c>
      <c r="L76" s="5">
        <v>17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/>
      <c r="AA76" s="5"/>
      <c r="AB76" s="5"/>
    </row>
    <row r="77" spans="1:28" x14ac:dyDescent="0.25">
      <c r="A77" s="5">
        <v>50</v>
      </c>
      <c r="B77" s="5">
        <v>0</v>
      </c>
      <c r="C77" s="5">
        <v>0</v>
      </c>
      <c r="D77" s="5">
        <v>1</v>
      </c>
      <c r="E77" s="5">
        <v>217</v>
      </c>
      <c r="F77" s="5">
        <f>ROUND(Source!AU58,O77)</f>
        <v>0</v>
      </c>
      <c r="G77" s="5" t="s">
        <v>72</v>
      </c>
      <c r="H77" s="5" t="s">
        <v>73</v>
      </c>
      <c r="I77" s="5"/>
      <c r="J77" s="5"/>
      <c r="K77" s="5">
        <v>217</v>
      </c>
      <c r="L77" s="5">
        <v>18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0</v>
      </c>
      <c r="X77" s="5">
        <v>1</v>
      </c>
      <c r="Y77" s="5">
        <v>0</v>
      </c>
      <c r="Z77" s="5"/>
      <c r="AA77" s="5"/>
      <c r="AB77" s="5"/>
    </row>
    <row r="78" spans="1:28" x14ac:dyDescent="0.25">
      <c r="A78" s="5">
        <v>50</v>
      </c>
      <c r="B78" s="5">
        <v>0</v>
      </c>
      <c r="C78" s="5">
        <v>0</v>
      </c>
      <c r="D78" s="5">
        <v>1</v>
      </c>
      <c r="E78" s="5">
        <v>230</v>
      </c>
      <c r="F78" s="5">
        <f>ROUND(Source!BA58,O78)</f>
        <v>0</v>
      </c>
      <c r="G78" s="5" t="s">
        <v>74</v>
      </c>
      <c r="H78" s="5" t="s">
        <v>75</v>
      </c>
      <c r="I78" s="5"/>
      <c r="J78" s="5"/>
      <c r="K78" s="5">
        <v>230</v>
      </c>
      <c r="L78" s="5">
        <v>19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0</v>
      </c>
      <c r="X78" s="5">
        <v>1</v>
      </c>
      <c r="Y78" s="5">
        <v>0</v>
      </c>
      <c r="Z78" s="5"/>
      <c r="AA78" s="5"/>
      <c r="AB78" s="5"/>
    </row>
    <row r="79" spans="1:28" x14ac:dyDescent="0.25">
      <c r="A79" s="5">
        <v>50</v>
      </c>
      <c r="B79" s="5">
        <v>0</v>
      </c>
      <c r="C79" s="5">
        <v>0</v>
      </c>
      <c r="D79" s="5">
        <v>1</v>
      </c>
      <c r="E79" s="5">
        <v>206</v>
      </c>
      <c r="F79" s="5">
        <f>ROUND(Source!T58,O79)</f>
        <v>0</v>
      </c>
      <c r="G79" s="5" t="s">
        <v>76</v>
      </c>
      <c r="H79" s="5" t="s">
        <v>77</v>
      </c>
      <c r="I79" s="5"/>
      <c r="J79" s="5"/>
      <c r="K79" s="5">
        <v>206</v>
      </c>
      <c r="L79" s="5">
        <v>20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/>
      <c r="AA79" s="5"/>
      <c r="AB79" s="5"/>
    </row>
    <row r="80" spans="1:28" x14ac:dyDescent="0.25">
      <c r="A80" s="5">
        <v>50</v>
      </c>
      <c r="B80" s="5">
        <v>0</v>
      </c>
      <c r="C80" s="5">
        <v>0</v>
      </c>
      <c r="D80" s="5">
        <v>1</v>
      </c>
      <c r="E80" s="5">
        <v>207</v>
      </c>
      <c r="F80" s="5">
        <f>ROUND(Source!U58,O80)</f>
        <v>0.29360000000000003</v>
      </c>
      <c r="G80" s="5" t="s">
        <v>78</v>
      </c>
      <c r="H80" s="5" t="s">
        <v>79</v>
      </c>
      <c r="I80" s="5"/>
      <c r="J80" s="5"/>
      <c r="K80" s="5">
        <v>207</v>
      </c>
      <c r="L80" s="5">
        <v>21</v>
      </c>
      <c r="M80" s="5">
        <v>3</v>
      </c>
      <c r="N80" s="5" t="s">
        <v>3</v>
      </c>
      <c r="O80" s="5">
        <v>7</v>
      </c>
      <c r="P80" s="5"/>
      <c r="Q80" s="5"/>
      <c r="R80" s="5"/>
      <c r="S80" s="5"/>
      <c r="T80" s="5"/>
      <c r="U80" s="5"/>
      <c r="V80" s="5"/>
      <c r="W80" s="5">
        <v>0.29360000000000003</v>
      </c>
      <c r="X80" s="5">
        <v>1</v>
      </c>
      <c r="Y80" s="5">
        <v>0.29360000000000003</v>
      </c>
      <c r="Z80" s="5"/>
      <c r="AA80" s="5"/>
      <c r="AB80" s="5"/>
    </row>
    <row r="81" spans="1:28" x14ac:dyDescent="0.25">
      <c r="A81" s="5">
        <v>50</v>
      </c>
      <c r="B81" s="5">
        <v>0</v>
      </c>
      <c r="C81" s="5">
        <v>0</v>
      </c>
      <c r="D81" s="5">
        <v>1</v>
      </c>
      <c r="E81" s="5">
        <v>208</v>
      </c>
      <c r="F81" s="5">
        <f>ROUND(Source!V58,O81)</f>
        <v>0.1182</v>
      </c>
      <c r="G81" s="5" t="s">
        <v>80</v>
      </c>
      <c r="H81" s="5" t="s">
        <v>81</v>
      </c>
      <c r="I81" s="5"/>
      <c r="J81" s="5"/>
      <c r="K81" s="5">
        <v>208</v>
      </c>
      <c r="L81" s="5">
        <v>22</v>
      </c>
      <c r="M81" s="5">
        <v>3</v>
      </c>
      <c r="N81" s="5" t="s">
        <v>3</v>
      </c>
      <c r="O81" s="5">
        <v>7</v>
      </c>
      <c r="P81" s="5"/>
      <c r="Q81" s="5"/>
      <c r="R81" s="5"/>
      <c r="S81" s="5"/>
      <c r="T81" s="5"/>
      <c r="U81" s="5"/>
      <c r="V81" s="5"/>
      <c r="W81" s="5">
        <v>0.1182</v>
      </c>
      <c r="X81" s="5">
        <v>1</v>
      </c>
      <c r="Y81" s="5">
        <v>0.1182</v>
      </c>
      <c r="Z81" s="5"/>
      <c r="AA81" s="5"/>
      <c r="AB81" s="5"/>
    </row>
    <row r="82" spans="1:28" x14ac:dyDescent="0.25">
      <c r="A82" s="5">
        <v>50</v>
      </c>
      <c r="B82" s="5">
        <v>0</v>
      </c>
      <c r="C82" s="5">
        <v>0</v>
      </c>
      <c r="D82" s="5">
        <v>1</v>
      </c>
      <c r="E82" s="5">
        <v>209</v>
      </c>
      <c r="F82" s="5">
        <f>ROUND(Source!W58,O82)</f>
        <v>0</v>
      </c>
      <c r="G82" s="5" t="s">
        <v>82</v>
      </c>
      <c r="H82" s="5" t="s">
        <v>83</v>
      </c>
      <c r="I82" s="5"/>
      <c r="J82" s="5"/>
      <c r="K82" s="5">
        <v>209</v>
      </c>
      <c r="L82" s="5">
        <v>23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0</v>
      </c>
      <c r="X82" s="5">
        <v>1</v>
      </c>
      <c r="Y82" s="5">
        <v>0</v>
      </c>
      <c r="Z82" s="5"/>
      <c r="AA82" s="5"/>
      <c r="AB82" s="5"/>
    </row>
    <row r="83" spans="1:28" x14ac:dyDescent="0.25">
      <c r="A83" s="5">
        <v>50</v>
      </c>
      <c r="B83" s="5">
        <v>0</v>
      </c>
      <c r="C83" s="5">
        <v>0</v>
      </c>
      <c r="D83" s="5">
        <v>1</v>
      </c>
      <c r="E83" s="5">
        <v>233</v>
      </c>
      <c r="F83" s="5">
        <f>ROUND(Source!BD58,O83)</f>
        <v>0</v>
      </c>
      <c r="G83" s="5" t="s">
        <v>84</v>
      </c>
      <c r="H83" s="5" t="s">
        <v>85</v>
      </c>
      <c r="I83" s="5"/>
      <c r="J83" s="5"/>
      <c r="K83" s="5">
        <v>233</v>
      </c>
      <c r="L83" s="5">
        <v>24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0</v>
      </c>
      <c r="X83" s="5">
        <v>1</v>
      </c>
      <c r="Y83" s="5">
        <v>0</v>
      </c>
      <c r="Z83" s="5"/>
      <c r="AA83" s="5"/>
      <c r="AB83" s="5"/>
    </row>
    <row r="84" spans="1:28" x14ac:dyDescent="0.25">
      <c r="A84" s="5">
        <v>50</v>
      </c>
      <c r="B84" s="5">
        <v>0</v>
      </c>
      <c r="C84" s="5">
        <v>0</v>
      </c>
      <c r="D84" s="5">
        <v>1</v>
      </c>
      <c r="E84" s="5">
        <v>210</v>
      </c>
      <c r="F84" s="5">
        <f>ROUND(Source!X58,O84)</f>
        <v>221.71</v>
      </c>
      <c r="G84" s="5" t="s">
        <v>86</v>
      </c>
      <c r="H84" s="5" t="s">
        <v>87</v>
      </c>
      <c r="I84" s="5"/>
      <c r="J84" s="5"/>
      <c r="K84" s="5">
        <v>210</v>
      </c>
      <c r="L84" s="5">
        <v>25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221.71</v>
      </c>
      <c r="X84" s="5">
        <v>1</v>
      </c>
      <c r="Y84" s="5">
        <v>221.71</v>
      </c>
      <c r="Z84" s="5"/>
      <c r="AA84" s="5"/>
      <c r="AB84" s="5"/>
    </row>
    <row r="85" spans="1:28" x14ac:dyDescent="0.25">
      <c r="A85" s="5">
        <v>50</v>
      </c>
      <c r="B85" s="5">
        <v>0</v>
      </c>
      <c r="C85" s="5">
        <v>0</v>
      </c>
      <c r="D85" s="5">
        <v>1</v>
      </c>
      <c r="E85" s="5">
        <v>211</v>
      </c>
      <c r="F85" s="5">
        <f>ROUND(Source!Y58,O85)</f>
        <v>125.31</v>
      </c>
      <c r="G85" s="5" t="s">
        <v>88</v>
      </c>
      <c r="H85" s="5" t="s">
        <v>89</v>
      </c>
      <c r="I85" s="5"/>
      <c r="J85" s="5"/>
      <c r="K85" s="5">
        <v>211</v>
      </c>
      <c r="L85" s="5">
        <v>26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125.31</v>
      </c>
      <c r="X85" s="5">
        <v>1</v>
      </c>
      <c r="Y85" s="5">
        <v>125.31</v>
      </c>
      <c r="Z85" s="5"/>
      <c r="AA85" s="5"/>
      <c r="AB85" s="5"/>
    </row>
    <row r="86" spans="1:28" x14ac:dyDescent="0.25">
      <c r="A86" s="5">
        <v>50</v>
      </c>
      <c r="B86" s="5">
        <v>0</v>
      </c>
      <c r="C86" s="5">
        <v>0</v>
      </c>
      <c r="D86" s="5">
        <v>1</v>
      </c>
      <c r="E86" s="5">
        <v>224</v>
      </c>
      <c r="F86" s="5">
        <f>ROUND(Source!AR58,O86)</f>
        <v>1132.74</v>
      </c>
      <c r="G86" s="5" t="s">
        <v>90</v>
      </c>
      <c r="H86" s="5" t="s">
        <v>91</v>
      </c>
      <c r="I86" s="5"/>
      <c r="J86" s="5"/>
      <c r="K86" s="5">
        <v>224</v>
      </c>
      <c r="L86" s="5">
        <v>27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1132.74</v>
      </c>
      <c r="X86" s="5">
        <v>1</v>
      </c>
      <c r="Y86" s="5">
        <v>1132.74</v>
      </c>
      <c r="Z86" s="5"/>
      <c r="AA86" s="5"/>
      <c r="AB86" s="5"/>
    </row>
    <row r="87" spans="1:28" x14ac:dyDescent="0.25">
      <c r="A87" s="5">
        <v>50</v>
      </c>
      <c r="B87" s="5">
        <v>1</v>
      </c>
      <c r="C87" s="5">
        <v>0</v>
      </c>
      <c r="D87" s="5">
        <v>2</v>
      </c>
      <c r="E87" s="5">
        <v>0</v>
      </c>
      <c r="F87" s="5">
        <f>ROUND(F86*0.22,O87)</f>
        <v>249.2</v>
      </c>
      <c r="G87" s="5" t="s">
        <v>92</v>
      </c>
      <c r="H87" s="5" t="s">
        <v>93</v>
      </c>
      <c r="I87" s="5"/>
      <c r="J87" s="5"/>
      <c r="K87" s="5">
        <v>212</v>
      </c>
      <c r="L87" s="5">
        <v>28</v>
      </c>
      <c r="M87" s="5">
        <v>0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249.2</v>
      </c>
      <c r="X87" s="5">
        <v>1</v>
      </c>
      <c r="Y87" s="5">
        <v>249.2</v>
      </c>
      <c r="Z87" s="5"/>
      <c r="AA87" s="5"/>
      <c r="AB87" s="5"/>
    </row>
    <row r="88" spans="1:28" x14ac:dyDescent="0.25">
      <c r="A88" s="5">
        <v>50</v>
      </c>
      <c r="B88" s="5">
        <v>1</v>
      </c>
      <c r="C88" s="5">
        <v>0</v>
      </c>
      <c r="D88" s="5">
        <v>2</v>
      </c>
      <c r="E88" s="5">
        <v>0</v>
      </c>
      <c r="F88" s="5">
        <f>ROUND(F86+F87,O88)</f>
        <v>1381.94</v>
      </c>
      <c r="G88" s="5" t="s">
        <v>94</v>
      </c>
      <c r="H88" s="5" t="s">
        <v>95</v>
      </c>
      <c r="I88" s="5"/>
      <c r="J88" s="5"/>
      <c r="K88" s="5">
        <v>212</v>
      </c>
      <c r="L88" s="5">
        <v>29</v>
      </c>
      <c r="M88" s="5">
        <v>0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1381.94</v>
      </c>
      <c r="X88" s="5">
        <v>1</v>
      </c>
      <c r="Y88" s="5">
        <v>1381.94</v>
      </c>
      <c r="Z88" s="5"/>
      <c r="AA88" s="5"/>
      <c r="AB88" s="5"/>
    </row>
    <row r="91" spans="1:28" x14ac:dyDescent="0.25">
      <c r="A91">
        <v>70</v>
      </c>
      <c r="B91">
        <v>1</v>
      </c>
      <c r="D91">
        <v>1</v>
      </c>
      <c r="E91" t="s">
        <v>96</v>
      </c>
      <c r="F91" t="s">
        <v>97</v>
      </c>
      <c r="G91">
        <v>1</v>
      </c>
      <c r="H91">
        <v>0</v>
      </c>
      <c r="I91" t="s">
        <v>3</v>
      </c>
      <c r="J91">
        <v>1</v>
      </c>
      <c r="K91">
        <v>0</v>
      </c>
      <c r="L91" t="s">
        <v>3</v>
      </c>
      <c r="M91" t="s">
        <v>3</v>
      </c>
      <c r="N91">
        <v>0</v>
      </c>
      <c r="P91" t="s">
        <v>98</v>
      </c>
    </row>
    <row r="92" spans="1:28" x14ac:dyDescent="0.25">
      <c r="A92">
        <v>70</v>
      </c>
      <c r="B92">
        <v>1</v>
      </c>
      <c r="D92">
        <v>2</v>
      </c>
      <c r="E92" t="s">
        <v>99</v>
      </c>
      <c r="F92" t="s">
        <v>100</v>
      </c>
      <c r="G92">
        <v>0</v>
      </c>
      <c r="H92">
        <v>0</v>
      </c>
      <c r="I92" t="s">
        <v>3</v>
      </c>
      <c r="J92">
        <v>1</v>
      </c>
      <c r="K92">
        <v>0</v>
      </c>
      <c r="L92" t="s">
        <v>3</v>
      </c>
      <c r="M92" t="s">
        <v>3</v>
      </c>
      <c r="N92">
        <v>0</v>
      </c>
      <c r="P92" t="s">
        <v>101</v>
      </c>
    </row>
    <row r="93" spans="1:28" x14ac:dyDescent="0.25">
      <c r="A93">
        <v>70</v>
      </c>
      <c r="B93">
        <v>1</v>
      </c>
      <c r="D93">
        <v>3</v>
      </c>
      <c r="E93" t="s">
        <v>102</v>
      </c>
      <c r="F93" t="s">
        <v>103</v>
      </c>
      <c r="G93">
        <v>0</v>
      </c>
      <c r="H93">
        <v>0</v>
      </c>
      <c r="I93" t="s">
        <v>3</v>
      </c>
      <c r="J93">
        <v>1</v>
      </c>
      <c r="K93">
        <v>0</v>
      </c>
      <c r="L93" t="s">
        <v>3</v>
      </c>
      <c r="M93" t="s">
        <v>3</v>
      </c>
      <c r="N93">
        <v>0</v>
      </c>
      <c r="P93" t="s">
        <v>104</v>
      </c>
    </row>
    <row r="94" spans="1:28" x14ac:dyDescent="0.25">
      <c r="A94">
        <v>70</v>
      </c>
      <c r="B94">
        <v>1</v>
      </c>
      <c r="D94">
        <v>4</v>
      </c>
      <c r="E94" t="s">
        <v>105</v>
      </c>
      <c r="F94" t="s">
        <v>106</v>
      </c>
      <c r="G94">
        <v>1</v>
      </c>
      <c r="H94">
        <v>0</v>
      </c>
      <c r="I94" t="s">
        <v>3</v>
      </c>
      <c r="J94">
        <v>2</v>
      </c>
      <c r="K94">
        <v>0</v>
      </c>
      <c r="L94" t="s">
        <v>3</v>
      </c>
      <c r="M94" t="s">
        <v>3</v>
      </c>
      <c r="N94">
        <v>0</v>
      </c>
      <c r="P94" t="s">
        <v>3</v>
      </c>
    </row>
    <row r="95" spans="1:28" x14ac:dyDescent="0.25">
      <c r="A95">
        <v>70</v>
      </c>
      <c r="B95">
        <v>1</v>
      </c>
      <c r="D95">
        <v>5</v>
      </c>
      <c r="E95" t="s">
        <v>107</v>
      </c>
      <c r="F95" t="s">
        <v>108</v>
      </c>
      <c r="G95">
        <v>0</v>
      </c>
      <c r="H95">
        <v>0</v>
      </c>
      <c r="I95" t="s">
        <v>3</v>
      </c>
      <c r="J95">
        <v>2</v>
      </c>
      <c r="K95">
        <v>0</v>
      </c>
      <c r="L95" t="s">
        <v>3</v>
      </c>
      <c r="M95" t="s">
        <v>3</v>
      </c>
      <c r="N95">
        <v>0</v>
      </c>
      <c r="P95" t="s">
        <v>3</v>
      </c>
    </row>
    <row r="96" spans="1:28" x14ac:dyDescent="0.25">
      <c r="A96">
        <v>70</v>
      </c>
      <c r="B96">
        <v>1</v>
      </c>
      <c r="D96">
        <v>6</v>
      </c>
      <c r="E96" t="s">
        <v>109</v>
      </c>
      <c r="F96" t="s">
        <v>110</v>
      </c>
      <c r="G96">
        <v>0</v>
      </c>
      <c r="H96">
        <v>0</v>
      </c>
      <c r="I96" t="s">
        <v>3</v>
      </c>
      <c r="J96">
        <v>2</v>
      </c>
      <c r="K96">
        <v>0</v>
      </c>
      <c r="L96" t="s">
        <v>3</v>
      </c>
      <c r="M96" t="s">
        <v>3</v>
      </c>
      <c r="N96">
        <v>0</v>
      </c>
      <c r="P96" t="s">
        <v>3</v>
      </c>
    </row>
    <row r="97" spans="1:16" x14ac:dyDescent="0.25">
      <c r="A97">
        <v>70</v>
      </c>
      <c r="B97">
        <v>1</v>
      </c>
      <c r="D97">
        <v>7</v>
      </c>
      <c r="E97" t="s">
        <v>111</v>
      </c>
      <c r="F97" t="s">
        <v>112</v>
      </c>
      <c r="G97">
        <v>0</v>
      </c>
      <c r="H97">
        <v>0</v>
      </c>
      <c r="I97" t="s">
        <v>113</v>
      </c>
      <c r="J97">
        <v>0</v>
      </c>
      <c r="K97">
        <v>0</v>
      </c>
      <c r="L97" t="s">
        <v>3</v>
      </c>
      <c r="M97" t="s">
        <v>3</v>
      </c>
      <c r="N97">
        <v>0</v>
      </c>
      <c r="P97" t="s">
        <v>114</v>
      </c>
    </row>
    <row r="98" spans="1:16" x14ac:dyDescent="0.25">
      <c r="A98">
        <v>70</v>
      </c>
      <c r="B98">
        <v>1</v>
      </c>
      <c r="D98">
        <v>8</v>
      </c>
      <c r="E98" t="s">
        <v>115</v>
      </c>
      <c r="F98" t="s">
        <v>116</v>
      </c>
      <c r="G98">
        <v>1</v>
      </c>
      <c r="H98">
        <v>0</v>
      </c>
      <c r="I98" t="s">
        <v>3</v>
      </c>
      <c r="J98">
        <v>5</v>
      </c>
      <c r="K98">
        <v>0</v>
      </c>
      <c r="L98" t="s">
        <v>3</v>
      </c>
      <c r="M98" t="s">
        <v>3</v>
      </c>
      <c r="N98">
        <v>0</v>
      </c>
      <c r="P98" t="s">
        <v>3</v>
      </c>
    </row>
    <row r="99" spans="1:16" x14ac:dyDescent="0.25">
      <c r="A99">
        <v>70</v>
      </c>
      <c r="B99">
        <v>1</v>
      </c>
      <c r="D99">
        <v>9</v>
      </c>
      <c r="E99" t="s">
        <v>117</v>
      </c>
      <c r="F99" t="s">
        <v>118</v>
      </c>
      <c r="G99">
        <v>0</v>
      </c>
      <c r="H99">
        <v>0</v>
      </c>
      <c r="I99" t="s">
        <v>3</v>
      </c>
      <c r="J99">
        <v>5</v>
      </c>
      <c r="K99">
        <v>0</v>
      </c>
      <c r="L99" t="s">
        <v>3</v>
      </c>
      <c r="M99" t="s">
        <v>3</v>
      </c>
      <c r="N99">
        <v>0</v>
      </c>
      <c r="P99" t="s">
        <v>119</v>
      </c>
    </row>
    <row r="100" spans="1:16" x14ac:dyDescent="0.25">
      <c r="A100">
        <v>70</v>
      </c>
      <c r="B100">
        <v>1</v>
      </c>
      <c r="D100">
        <v>10</v>
      </c>
      <c r="E100" t="s">
        <v>120</v>
      </c>
      <c r="F100" t="s">
        <v>121</v>
      </c>
      <c r="G100">
        <v>0</v>
      </c>
      <c r="H100">
        <v>0</v>
      </c>
      <c r="I100" t="s">
        <v>122</v>
      </c>
      <c r="J100">
        <v>5</v>
      </c>
      <c r="K100">
        <v>0</v>
      </c>
      <c r="L100" t="s">
        <v>3</v>
      </c>
      <c r="M100" t="s">
        <v>3</v>
      </c>
      <c r="N100">
        <v>0</v>
      </c>
      <c r="P100" t="s">
        <v>123</v>
      </c>
    </row>
    <row r="101" spans="1:16" x14ac:dyDescent="0.25">
      <c r="A101">
        <v>70</v>
      </c>
      <c r="B101">
        <v>1</v>
      </c>
      <c r="D101">
        <v>11</v>
      </c>
      <c r="E101" t="s">
        <v>124</v>
      </c>
      <c r="F101" t="s">
        <v>125</v>
      </c>
      <c r="G101">
        <v>0</v>
      </c>
      <c r="H101">
        <v>0</v>
      </c>
      <c r="I101" t="s">
        <v>126</v>
      </c>
      <c r="J101">
        <v>0</v>
      </c>
      <c r="K101">
        <v>0</v>
      </c>
      <c r="L101" t="s">
        <v>3</v>
      </c>
      <c r="M101" t="s">
        <v>3</v>
      </c>
      <c r="N101">
        <v>0</v>
      </c>
      <c r="P101" t="s">
        <v>127</v>
      </c>
    </row>
    <row r="102" spans="1:16" x14ac:dyDescent="0.25">
      <c r="A102">
        <v>70</v>
      </c>
      <c r="B102">
        <v>1</v>
      </c>
      <c r="D102">
        <v>12</v>
      </c>
      <c r="E102" t="s">
        <v>128</v>
      </c>
      <c r="F102" t="s">
        <v>129</v>
      </c>
      <c r="G102">
        <v>0</v>
      </c>
      <c r="H102">
        <v>0</v>
      </c>
      <c r="I102" t="s">
        <v>130</v>
      </c>
      <c r="J102">
        <v>0</v>
      </c>
      <c r="K102">
        <v>0</v>
      </c>
      <c r="L102" t="s">
        <v>3</v>
      </c>
      <c r="M102" t="s">
        <v>3</v>
      </c>
      <c r="N102">
        <v>0</v>
      </c>
      <c r="P102" t="s">
        <v>131</v>
      </c>
    </row>
    <row r="103" spans="1:16" x14ac:dyDescent="0.25">
      <c r="A103">
        <v>70</v>
      </c>
      <c r="B103">
        <v>1</v>
      </c>
      <c r="D103">
        <v>13</v>
      </c>
      <c r="E103" t="s">
        <v>132</v>
      </c>
      <c r="F103" t="s">
        <v>133</v>
      </c>
      <c r="G103">
        <v>0</v>
      </c>
      <c r="H103">
        <v>0</v>
      </c>
      <c r="I103" t="s">
        <v>134</v>
      </c>
      <c r="J103">
        <v>0</v>
      </c>
      <c r="K103">
        <v>0</v>
      </c>
      <c r="L103" t="s">
        <v>3</v>
      </c>
      <c r="M103" t="s">
        <v>3</v>
      </c>
      <c r="N103">
        <v>0</v>
      </c>
      <c r="P103" t="s">
        <v>135</v>
      </c>
    </row>
    <row r="104" spans="1:16" x14ac:dyDescent="0.25">
      <c r="A104">
        <v>70</v>
      </c>
      <c r="B104">
        <v>1</v>
      </c>
      <c r="D104">
        <v>14</v>
      </c>
      <c r="E104" t="s">
        <v>136</v>
      </c>
      <c r="F104" t="s">
        <v>137</v>
      </c>
      <c r="G104">
        <v>0</v>
      </c>
      <c r="H104">
        <v>0</v>
      </c>
      <c r="I104" t="s">
        <v>3</v>
      </c>
      <c r="J104">
        <v>0</v>
      </c>
      <c r="K104">
        <v>0</v>
      </c>
      <c r="L104" t="s">
        <v>3</v>
      </c>
      <c r="M104" t="s">
        <v>3</v>
      </c>
      <c r="N104">
        <v>0</v>
      </c>
      <c r="P104" t="s">
        <v>3</v>
      </c>
    </row>
    <row r="105" spans="1:16" x14ac:dyDescent="0.25">
      <c r="A105">
        <v>70</v>
      </c>
      <c r="B105">
        <v>1</v>
      </c>
      <c r="D105">
        <v>15</v>
      </c>
      <c r="E105" t="s">
        <v>138</v>
      </c>
      <c r="F105" t="s">
        <v>139</v>
      </c>
      <c r="G105">
        <v>0</v>
      </c>
      <c r="H105">
        <v>0</v>
      </c>
      <c r="I105" t="s">
        <v>3</v>
      </c>
      <c r="J105">
        <v>0</v>
      </c>
      <c r="K105">
        <v>0</v>
      </c>
      <c r="L105" t="s">
        <v>3</v>
      </c>
      <c r="M105" t="s">
        <v>3</v>
      </c>
      <c r="N105">
        <v>0</v>
      </c>
      <c r="P105" t="s">
        <v>140</v>
      </c>
    </row>
    <row r="106" spans="1:16" x14ac:dyDescent="0.25">
      <c r="A106">
        <v>70</v>
      </c>
      <c r="B106">
        <v>1</v>
      </c>
      <c r="D106">
        <v>16</v>
      </c>
      <c r="E106" t="s">
        <v>141</v>
      </c>
      <c r="F106" t="s">
        <v>142</v>
      </c>
      <c r="G106">
        <v>0</v>
      </c>
      <c r="H106">
        <v>0</v>
      </c>
      <c r="I106" t="s">
        <v>3</v>
      </c>
      <c r="J106">
        <v>3</v>
      </c>
      <c r="K106">
        <v>0</v>
      </c>
      <c r="L106" t="s">
        <v>3</v>
      </c>
      <c r="M106" t="s">
        <v>3</v>
      </c>
      <c r="N106">
        <v>0</v>
      </c>
      <c r="P106" t="s">
        <v>3</v>
      </c>
    </row>
    <row r="107" spans="1:16" x14ac:dyDescent="0.25">
      <c r="A107">
        <v>70</v>
      </c>
      <c r="B107">
        <v>1</v>
      </c>
      <c r="D107">
        <v>17</v>
      </c>
      <c r="E107" t="s">
        <v>143</v>
      </c>
      <c r="F107" t="s">
        <v>144</v>
      </c>
      <c r="G107">
        <v>1</v>
      </c>
      <c r="H107">
        <v>0</v>
      </c>
      <c r="I107" t="s">
        <v>3</v>
      </c>
      <c r="J107">
        <v>3</v>
      </c>
      <c r="K107">
        <v>0</v>
      </c>
      <c r="L107" t="s">
        <v>3</v>
      </c>
      <c r="M107" t="s">
        <v>3</v>
      </c>
      <c r="N107">
        <v>0</v>
      </c>
      <c r="P107" t="s">
        <v>3</v>
      </c>
    </row>
    <row r="108" spans="1:16" x14ac:dyDescent="0.25">
      <c r="A108">
        <v>70</v>
      </c>
      <c r="B108">
        <v>1</v>
      </c>
      <c r="D108">
        <v>1</v>
      </c>
      <c r="E108" t="s">
        <v>145</v>
      </c>
      <c r="F108" t="s">
        <v>146</v>
      </c>
      <c r="G108">
        <v>0.9</v>
      </c>
      <c r="H108">
        <v>1</v>
      </c>
      <c r="I108" t="s">
        <v>147</v>
      </c>
      <c r="J108">
        <v>0</v>
      </c>
      <c r="K108">
        <v>0</v>
      </c>
      <c r="L108" t="s">
        <v>3</v>
      </c>
      <c r="M108" t="s">
        <v>3</v>
      </c>
      <c r="N108">
        <v>0</v>
      </c>
      <c r="P108" t="s">
        <v>148</v>
      </c>
    </row>
    <row r="109" spans="1:16" x14ac:dyDescent="0.25">
      <c r="A109">
        <v>70</v>
      </c>
      <c r="B109">
        <v>1</v>
      </c>
      <c r="D109">
        <v>2</v>
      </c>
      <c r="E109" t="s">
        <v>149</v>
      </c>
      <c r="F109" t="s">
        <v>150</v>
      </c>
      <c r="G109">
        <v>0.85</v>
      </c>
      <c r="H109">
        <v>1</v>
      </c>
      <c r="I109" t="s">
        <v>151</v>
      </c>
      <c r="J109">
        <v>0</v>
      </c>
      <c r="K109">
        <v>0</v>
      </c>
      <c r="L109" t="s">
        <v>3</v>
      </c>
      <c r="M109" t="s">
        <v>3</v>
      </c>
      <c r="N109">
        <v>0</v>
      </c>
      <c r="P109" t="s">
        <v>152</v>
      </c>
    </row>
    <row r="110" spans="1:16" x14ac:dyDescent="0.25">
      <c r="A110">
        <v>70</v>
      </c>
      <c r="B110">
        <v>1</v>
      </c>
      <c r="D110">
        <v>3</v>
      </c>
      <c r="E110" t="s">
        <v>153</v>
      </c>
      <c r="F110" t="s">
        <v>154</v>
      </c>
      <c r="G110">
        <v>1.03</v>
      </c>
      <c r="H110">
        <v>0</v>
      </c>
      <c r="I110" t="s">
        <v>3</v>
      </c>
      <c r="J110">
        <v>0</v>
      </c>
      <c r="K110">
        <v>0</v>
      </c>
      <c r="L110" t="s">
        <v>3</v>
      </c>
      <c r="M110" t="s">
        <v>3</v>
      </c>
      <c r="N110">
        <v>0</v>
      </c>
      <c r="P110" t="s">
        <v>155</v>
      </c>
    </row>
    <row r="111" spans="1:16" x14ac:dyDescent="0.25">
      <c r="A111">
        <v>70</v>
      </c>
      <c r="B111">
        <v>1</v>
      </c>
      <c r="D111">
        <v>4</v>
      </c>
      <c r="E111" t="s">
        <v>156</v>
      </c>
      <c r="F111" t="s">
        <v>157</v>
      </c>
      <c r="G111">
        <v>1.1499999999999999</v>
      </c>
      <c r="H111">
        <v>0</v>
      </c>
      <c r="I111" t="s">
        <v>3</v>
      </c>
      <c r="J111">
        <v>0</v>
      </c>
      <c r="K111">
        <v>0</v>
      </c>
      <c r="L111" t="s">
        <v>3</v>
      </c>
      <c r="M111" t="s">
        <v>3</v>
      </c>
      <c r="N111">
        <v>0</v>
      </c>
      <c r="P111" t="s">
        <v>158</v>
      </c>
    </row>
    <row r="112" spans="1:16" x14ac:dyDescent="0.25">
      <c r="A112">
        <v>70</v>
      </c>
      <c r="B112">
        <v>1</v>
      </c>
      <c r="D112">
        <v>5</v>
      </c>
      <c r="E112" t="s">
        <v>159</v>
      </c>
      <c r="F112" t="s">
        <v>160</v>
      </c>
      <c r="G112">
        <v>7</v>
      </c>
      <c r="H112">
        <v>0</v>
      </c>
      <c r="I112" t="s">
        <v>3</v>
      </c>
      <c r="J112">
        <v>0</v>
      </c>
      <c r="K112">
        <v>0</v>
      </c>
      <c r="L112" t="s">
        <v>3</v>
      </c>
      <c r="M112" t="s">
        <v>3</v>
      </c>
      <c r="N112">
        <v>0</v>
      </c>
      <c r="P112" t="s">
        <v>3</v>
      </c>
    </row>
    <row r="113" spans="1:50" x14ac:dyDescent="0.25">
      <c r="A113">
        <v>70</v>
      </c>
      <c r="B113">
        <v>1</v>
      </c>
      <c r="D113">
        <v>6</v>
      </c>
      <c r="E113" t="s">
        <v>161</v>
      </c>
      <c r="F113" t="s">
        <v>3</v>
      </c>
      <c r="G113">
        <v>2</v>
      </c>
      <c r="H113">
        <v>0</v>
      </c>
      <c r="I113" t="s">
        <v>3</v>
      </c>
      <c r="J113">
        <v>0</v>
      </c>
      <c r="K113">
        <v>0</v>
      </c>
      <c r="L113" t="s">
        <v>3</v>
      </c>
      <c r="M113" t="s">
        <v>3</v>
      </c>
      <c r="N113">
        <v>0</v>
      </c>
      <c r="P113" t="s">
        <v>3</v>
      </c>
    </row>
    <row r="115" spans="1:50" x14ac:dyDescent="0.25">
      <c r="A115">
        <v>-1</v>
      </c>
    </row>
    <row r="117" spans="1:50" x14ac:dyDescent="0.25">
      <c r="A117" s="4">
        <v>75</v>
      </c>
      <c r="B117" s="4" t="s">
        <v>162</v>
      </c>
      <c r="C117" s="4">
        <v>2026</v>
      </c>
      <c r="D117" s="4">
        <v>0</v>
      </c>
      <c r="E117" s="4">
        <v>3</v>
      </c>
      <c r="F117" s="4">
        <v>1</v>
      </c>
      <c r="G117" s="4">
        <v>0</v>
      </c>
      <c r="H117" s="4">
        <v>1</v>
      </c>
      <c r="I117" s="4">
        <v>0</v>
      </c>
      <c r="J117" s="4">
        <v>1</v>
      </c>
      <c r="K117" s="4">
        <v>0</v>
      </c>
      <c r="L117" s="4">
        <v>0</v>
      </c>
      <c r="M117" s="4">
        <v>0</v>
      </c>
      <c r="N117" s="4">
        <v>17308916</v>
      </c>
      <c r="O117" s="4">
        <v>1</v>
      </c>
    </row>
    <row r="118" spans="1:50" x14ac:dyDescent="0.25">
      <c r="A118" s="6">
        <v>2</v>
      </c>
      <c r="B118" s="6" t="s">
        <v>163</v>
      </c>
      <c r="C118" s="6" t="s">
        <v>164</v>
      </c>
      <c r="D118" s="6">
        <v>0</v>
      </c>
      <c r="E118" s="6">
        <v>0</v>
      </c>
      <c r="F118" s="6">
        <v>0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>
        <v>17308917</v>
      </c>
    </row>
    <row r="119" spans="1:50" x14ac:dyDescent="0.25">
      <c r="A119" s="6">
        <v>1</v>
      </c>
      <c r="B119" s="6" t="s">
        <v>165</v>
      </c>
      <c r="C119" s="6" t="s">
        <v>166</v>
      </c>
      <c r="D119" s="6">
        <v>2026</v>
      </c>
      <c r="E119" s="6">
        <v>3</v>
      </c>
      <c r="F119" s="6">
        <v>1</v>
      </c>
      <c r="G119" s="6">
        <v>1</v>
      </c>
      <c r="H119" s="6">
        <v>0</v>
      </c>
      <c r="I119" s="6">
        <v>2</v>
      </c>
      <c r="J119" s="6">
        <v>1</v>
      </c>
      <c r="K119" s="6">
        <v>1</v>
      </c>
      <c r="L119" s="6">
        <v>1</v>
      </c>
      <c r="M119" s="6">
        <v>1</v>
      </c>
      <c r="N119" s="6">
        <v>1</v>
      </c>
      <c r="O119" s="6">
        <v>1</v>
      </c>
      <c r="P119" s="6">
        <v>1</v>
      </c>
      <c r="Q119" s="6">
        <v>1</v>
      </c>
      <c r="R119" s="6" t="s">
        <v>3</v>
      </c>
      <c r="S119" s="6" t="s">
        <v>3</v>
      </c>
      <c r="T119" s="6" t="s">
        <v>3</v>
      </c>
      <c r="U119" s="6" t="s">
        <v>3</v>
      </c>
      <c r="V119" s="6" t="s">
        <v>3</v>
      </c>
      <c r="W119" s="6" t="s">
        <v>3</v>
      </c>
      <c r="X119" s="6" t="s">
        <v>3</v>
      </c>
      <c r="Y119" s="6" t="s">
        <v>3</v>
      </c>
      <c r="Z119" s="6" t="s">
        <v>3</v>
      </c>
      <c r="AA119" s="6" t="s">
        <v>3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>
        <v>17308918</v>
      </c>
      <c r="AO119" s="6" t="s">
        <v>167</v>
      </c>
      <c r="AP119" s="6" t="s">
        <v>168</v>
      </c>
      <c r="AQ119" s="6">
        <v>46078</v>
      </c>
      <c r="AR119" s="6">
        <v>409</v>
      </c>
      <c r="AS119" s="6" t="s">
        <v>169</v>
      </c>
      <c r="AT119" s="6" t="s">
        <v>170</v>
      </c>
      <c r="AU119" s="6" t="s">
        <v>168</v>
      </c>
      <c r="AV119" s="6">
        <v>45720</v>
      </c>
      <c r="AW119" s="6">
        <v>20</v>
      </c>
      <c r="AX119" s="6" t="s">
        <v>171</v>
      </c>
    </row>
    <row r="123" spans="1:50" x14ac:dyDescent="0.25">
      <c r="A123">
        <v>65</v>
      </c>
      <c r="C123">
        <v>1</v>
      </c>
      <c r="D123">
        <v>0</v>
      </c>
      <c r="E123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workbookViewId="0"/>
  </sheetViews>
  <sheetFormatPr defaultColWidth="9.109375" defaultRowHeight="13.2" x14ac:dyDescent="0.25"/>
  <cols>
    <col min="1" max="256" width="9.109375" style="2" customWidth="1"/>
    <col min="257" max="16384" width="9.109375" style="2"/>
  </cols>
  <sheetData>
    <row r="1" spans="1:133" x14ac:dyDescent="0.25">
      <c r="A1" s="2">
        <v>0</v>
      </c>
      <c r="B1" s="2" t="s">
        <v>0</v>
      </c>
      <c r="D1" s="2" t="s">
        <v>172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0</v>
      </c>
      <c r="L1" s="2">
        <v>22013</v>
      </c>
      <c r="M1" s="2">
        <v>10</v>
      </c>
      <c r="N1" s="2">
        <v>12</v>
      </c>
      <c r="O1" s="2">
        <v>1</v>
      </c>
      <c r="P1" s="2">
        <v>0</v>
      </c>
      <c r="Q1" s="2">
        <v>1</v>
      </c>
    </row>
    <row r="12" spans="1:133" x14ac:dyDescent="0.25">
      <c r="A12" s="7">
        <v>1</v>
      </c>
      <c r="B12" s="7">
        <v>53</v>
      </c>
      <c r="C12" s="7">
        <v>0</v>
      </c>
      <c r="D12" s="7"/>
      <c r="E12" s="7">
        <v>0</v>
      </c>
      <c r="F12" s="7" t="s">
        <v>4</v>
      </c>
      <c r="G12" s="7" t="s">
        <v>5</v>
      </c>
      <c r="H12" s="7" t="s">
        <v>3</v>
      </c>
      <c r="I12" s="7">
        <v>0</v>
      </c>
      <c r="J12" s="7" t="s">
        <v>3</v>
      </c>
      <c r="K12" s="7">
        <v>0</v>
      </c>
      <c r="L12" s="7">
        <v>0</v>
      </c>
      <c r="M12" s="7">
        <v>523</v>
      </c>
      <c r="N12" s="7"/>
      <c r="O12" s="7">
        <v>0</v>
      </c>
      <c r="P12" s="7">
        <v>0</v>
      </c>
      <c r="Q12" s="7">
        <v>7</v>
      </c>
      <c r="R12" s="7">
        <v>0</v>
      </c>
      <c r="S12" s="7"/>
      <c r="T12" s="7">
        <v>4</v>
      </c>
      <c r="U12" s="7" t="s">
        <v>3</v>
      </c>
      <c r="V12" s="7">
        <v>0</v>
      </c>
      <c r="W12" s="7" t="s">
        <v>3</v>
      </c>
      <c r="X12" s="7" t="s">
        <v>3</v>
      </c>
      <c r="Y12" s="7" t="s">
        <v>3</v>
      </c>
      <c r="Z12" s="7" t="s">
        <v>3</v>
      </c>
      <c r="AA12" s="7" t="s">
        <v>3</v>
      </c>
      <c r="AB12" s="7" t="s">
        <v>3</v>
      </c>
      <c r="AC12" s="7" t="s">
        <v>3</v>
      </c>
      <c r="AD12" s="7" t="s">
        <v>3</v>
      </c>
      <c r="AE12" s="7" t="s">
        <v>3</v>
      </c>
      <c r="AF12" s="7" t="s">
        <v>3</v>
      </c>
      <c r="AG12" s="7" t="s">
        <v>3</v>
      </c>
      <c r="AH12" s="7" t="s">
        <v>3</v>
      </c>
      <c r="AI12" s="7" t="s">
        <v>3</v>
      </c>
      <c r="AJ12" s="7" t="s">
        <v>3</v>
      </c>
      <c r="AK12" s="7"/>
      <c r="AL12" s="7" t="s">
        <v>3</v>
      </c>
      <c r="AM12" s="7" t="s">
        <v>3</v>
      </c>
      <c r="AN12" s="7" t="s">
        <v>3</v>
      </c>
      <c r="AO12" s="7"/>
      <c r="AP12" s="7" t="s">
        <v>3</v>
      </c>
      <c r="AQ12" s="7" t="s">
        <v>3</v>
      </c>
      <c r="AR12" s="7" t="s">
        <v>3</v>
      </c>
      <c r="AS12" s="7"/>
      <c r="AT12" s="7"/>
      <c r="AU12" s="7"/>
      <c r="AV12" s="7"/>
      <c r="AW12" s="7"/>
      <c r="AX12" s="7" t="s">
        <v>3</v>
      </c>
      <c r="AY12" s="7" t="s">
        <v>3</v>
      </c>
      <c r="AZ12" s="7" t="s">
        <v>3</v>
      </c>
      <c r="BA12" s="7"/>
      <c r="BB12" s="7">
        <v>0</v>
      </c>
      <c r="BC12" s="7"/>
      <c r="BD12" s="7"/>
      <c r="BE12" s="7"/>
      <c r="BF12" s="7"/>
      <c r="BG12" s="7"/>
      <c r="BH12" s="7" t="s">
        <v>6</v>
      </c>
      <c r="BI12" s="7" t="s">
        <v>7</v>
      </c>
      <c r="BJ12" s="7">
        <v>1</v>
      </c>
      <c r="BK12" s="7">
        <v>1</v>
      </c>
      <c r="BL12" s="7">
        <v>0</v>
      </c>
      <c r="BM12" s="7">
        <v>0</v>
      </c>
      <c r="BN12" s="7">
        <v>1</v>
      </c>
      <c r="BO12" s="7">
        <v>0</v>
      </c>
      <c r="BP12" s="7">
        <v>6</v>
      </c>
      <c r="BQ12" s="7">
        <v>2</v>
      </c>
      <c r="BR12" s="7">
        <v>1</v>
      </c>
      <c r="BS12" s="7">
        <v>1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 t="s">
        <v>8</v>
      </c>
      <c r="BZ12" s="7" t="s">
        <v>9</v>
      </c>
      <c r="CA12" s="7" t="s">
        <v>10</v>
      </c>
      <c r="CB12" s="7" t="s">
        <v>10</v>
      </c>
      <c r="CC12" s="7" t="s">
        <v>10</v>
      </c>
      <c r="CD12" s="7" t="s">
        <v>10</v>
      </c>
      <c r="CE12" s="7" t="s">
        <v>11</v>
      </c>
      <c r="CF12" s="7">
        <v>0</v>
      </c>
      <c r="CG12" s="7">
        <v>0</v>
      </c>
      <c r="CH12" s="7">
        <v>487096328</v>
      </c>
      <c r="CI12" s="7" t="s">
        <v>3</v>
      </c>
      <c r="CJ12" s="7" t="s">
        <v>3</v>
      </c>
      <c r="CK12" s="7">
        <v>17</v>
      </c>
      <c r="CL12" s="7"/>
      <c r="CM12" s="7"/>
      <c r="CN12" s="7"/>
      <c r="CO12" s="7"/>
      <c r="CP12" s="7"/>
      <c r="CQ12" s="7" t="s">
        <v>12</v>
      </c>
      <c r="CR12" s="7" t="s">
        <v>13</v>
      </c>
      <c r="CS12" s="7">
        <v>45695</v>
      </c>
      <c r="CT12" s="7">
        <v>508</v>
      </c>
      <c r="CU12" s="7">
        <v>13</v>
      </c>
      <c r="CV12" s="7" t="s">
        <v>192</v>
      </c>
      <c r="CW12" s="7"/>
      <c r="CX12" s="7"/>
      <c r="CY12" s="7">
        <v>0</v>
      </c>
      <c r="CZ12" s="7" t="s">
        <v>3</v>
      </c>
      <c r="DA12" s="7" t="s">
        <v>3</v>
      </c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>
        <v>0</v>
      </c>
    </row>
    <row r="14" spans="1:133" x14ac:dyDescent="0.25">
      <c r="A14" s="7">
        <v>22</v>
      </c>
      <c r="B14" s="7">
        <v>1</v>
      </c>
      <c r="C14" s="7">
        <v>0</v>
      </c>
      <c r="D14" s="7">
        <v>17308916</v>
      </c>
      <c r="E14" s="7">
        <v>0</v>
      </c>
      <c r="F14" s="7">
        <v>2</v>
      </c>
      <c r="G14" s="7">
        <v>1</v>
      </c>
      <c r="H14" s="7"/>
      <c r="I14" s="7"/>
      <c r="J14" s="7"/>
      <c r="K14" s="7"/>
      <c r="L14" s="7"/>
      <c r="M14" s="7"/>
      <c r="N14" s="7"/>
      <c r="O14" s="7"/>
    </row>
    <row r="16" spans="1:133" x14ac:dyDescent="0.25">
      <c r="A16" s="8">
        <v>3</v>
      </c>
      <c r="B16" s="8">
        <v>1</v>
      </c>
      <c r="C16" s="8" t="s">
        <v>14</v>
      </c>
      <c r="D16" s="8" t="s">
        <v>14</v>
      </c>
      <c r="E16" s="9">
        <f>ROUND((Source!F45)/1000,2)</f>
        <v>1.1299999999999999</v>
      </c>
      <c r="F16" s="9">
        <f>ROUND((Source!F46)/1000,2)</f>
        <v>0</v>
      </c>
      <c r="G16" s="9">
        <f>ROUND((Source!F37)/1000,2)</f>
        <v>0</v>
      </c>
      <c r="H16" s="9">
        <f>ROUND((Source!F47)/1000+(Source!F48)/1000,2)</f>
        <v>0</v>
      </c>
      <c r="I16" s="9">
        <f>E16+F16+G16+H16</f>
        <v>1.1299999999999999</v>
      </c>
      <c r="J16" s="9">
        <f>ROUND((Source!F43+Source!F42)/1000,2)</f>
        <v>0.24</v>
      </c>
      <c r="K16" s="9">
        <v>1.1499999999999999</v>
      </c>
      <c r="L16" s="9">
        <v>0</v>
      </c>
      <c r="M16" s="9">
        <v>0</v>
      </c>
      <c r="N16" s="9">
        <f>I16+L16+M16</f>
        <v>1.1299999999999999</v>
      </c>
      <c r="AI16" s="8">
        <v>0</v>
      </c>
      <c r="AJ16" s="8">
        <v>0</v>
      </c>
      <c r="AK16" s="8" t="s">
        <v>3</v>
      </c>
      <c r="AL16" s="8" t="s">
        <v>3</v>
      </c>
      <c r="AM16" s="8" t="s">
        <v>3</v>
      </c>
      <c r="AN16" s="8">
        <v>0</v>
      </c>
      <c r="AO16" s="8" t="s">
        <v>3</v>
      </c>
      <c r="AP16" s="8" t="s">
        <v>3</v>
      </c>
      <c r="AT16" s="9">
        <v>785.71999999999991</v>
      </c>
      <c r="AU16" s="9">
        <v>363.89</v>
      </c>
      <c r="AV16" s="9">
        <v>0</v>
      </c>
      <c r="AW16" s="9">
        <v>0</v>
      </c>
      <c r="AX16" s="9">
        <v>0</v>
      </c>
      <c r="AY16" s="9">
        <v>180.83999999999997</v>
      </c>
      <c r="AZ16" s="9">
        <v>80.17</v>
      </c>
      <c r="BA16" s="9">
        <v>160.82</v>
      </c>
      <c r="BB16" s="9">
        <v>1132.74</v>
      </c>
      <c r="BC16" s="9">
        <v>0</v>
      </c>
      <c r="BD16" s="9">
        <v>0</v>
      </c>
      <c r="BE16" s="9">
        <v>0</v>
      </c>
      <c r="BF16" s="9">
        <v>0.29360000000000003</v>
      </c>
      <c r="BG16" s="9">
        <v>0.1182</v>
      </c>
      <c r="BH16" s="9">
        <v>0</v>
      </c>
      <c r="BI16" s="9">
        <v>221.71</v>
      </c>
      <c r="BJ16" s="9">
        <v>125.31</v>
      </c>
      <c r="BK16" s="9">
        <v>1132.74</v>
      </c>
    </row>
    <row r="18" spans="1:16" x14ac:dyDescent="0.25">
      <c r="A18" s="2">
        <v>51</v>
      </c>
      <c r="E18" s="2">
        <v>1.1299999999999999</v>
      </c>
      <c r="F18" s="2">
        <v>0</v>
      </c>
      <c r="G18" s="2">
        <v>0</v>
      </c>
      <c r="H18" s="2">
        <v>0</v>
      </c>
      <c r="I18" s="2">
        <v>1.1299999999999999</v>
      </c>
      <c r="J18" s="2">
        <v>0.24</v>
      </c>
      <c r="K18" s="2">
        <v>1.1499999999999999</v>
      </c>
      <c r="L18" s="2">
        <v>0</v>
      </c>
      <c r="M18" s="2">
        <v>0</v>
      </c>
      <c r="N18" s="2">
        <v>1.1299999999999999</v>
      </c>
    </row>
    <row r="20" spans="1:16" x14ac:dyDescent="0.25">
      <c r="A20" s="10">
        <v>50</v>
      </c>
      <c r="B20" s="10">
        <v>0</v>
      </c>
      <c r="C20" s="10">
        <v>0</v>
      </c>
      <c r="D20" s="10">
        <v>1</v>
      </c>
      <c r="E20" s="10">
        <v>201</v>
      </c>
      <c r="F20" s="10">
        <v>785.71999999999991</v>
      </c>
      <c r="G20" s="10" t="s">
        <v>38</v>
      </c>
      <c r="H20" s="10" t="s">
        <v>39</v>
      </c>
      <c r="I20" s="10"/>
      <c r="J20" s="10"/>
      <c r="K20" s="10">
        <v>201</v>
      </c>
      <c r="L20" s="10">
        <v>1</v>
      </c>
      <c r="M20" s="10">
        <v>3</v>
      </c>
      <c r="N20" s="10" t="s">
        <v>3</v>
      </c>
      <c r="O20" s="10">
        <v>2</v>
      </c>
      <c r="P20" s="10"/>
    </row>
    <row r="21" spans="1:16" x14ac:dyDescent="0.25">
      <c r="A21" s="10">
        <v>50</v>
      </c>
      <c r="B21" s="10">
        <v>0</v>
      </c>
      <c r="C21" s="10">
        <v>0</v>
      </c>
      <c r="D21" s="10">
        <v>1</v>
      </c>
      <c r="E21" s="10">
        <v>202</v>
      </c>
      <c r="F21" s="10">
        <v>363.89</v>
      </c>
      <c r="G21" s="10" t="s">
        <v>40</v>
      </c>
      <c r="H21" s="10" t="s">
        <v>41</v>
      </c>
      <c r="I21" s="10"/>
      <c r="J21" s="10"/>
      <c r="K21" s="10">
        <v>202</v>
      </c>
      <c r="L21" s="10">
        <v>2</v>
      </c>
      <c r="M21" s="10">
        <v>3</v>
      </c>
      <c r="N21" s="10" t="s">
        <v>3</v>
      </c>
      <c r="O21" s="10">
        <v>2</v>
      </c>
      <c r="P21" s="10"/>
    </row>
    <row r="22" spans="1:16" x14ac:dyDescent="0.25">
      <c r="A22" s="10">
        <v>50</v>
      </c>
      <c r="B22" s="10">
        <v>0</v>
      </c>
      <c r="C22" s="10">
        <v>0</v>
      </c>
      <c r="D22" s="10">
        <v>1</v>
      </c>
      <c r="E22" s="10">
        <v>222</v>
      </c>
      <c r="F22" s="10">
        <v>0</v>
      </c>
      <c r="G22" s="10" t="s">
        <v>42</v>
      </c>
      <c r="H22" s="10" t="s">
        <v>43</v>
      </c>
      <c r="I22" s="10"/>
      <c r="J22" s="10"/>
      <c r="K22" s="10">
        <v>222</v>
      </c>
      <c r="L22" s="10">
        <v>3</v>
      </c>
      <c r="M22" s="10">
        <v>3</v>
      </c>
      <c r="N22" s="10" t="s">
        <v>3</v>
      </c>
      <c r="O22" s="10">
        <v>2</v>
      </c>
      <c r="P22" s="10"/>
    </row>
    <row r="23" spans="1:16" x14ac:dyDescent="0.25">
      <c r="A23" s="10">
        <v>50</v>
      </c>
      <c r="B23" s="10">
        <v>0</v>
      </c>
      <c r="C23" s="10">
        <v>0</v>
      </c>
      <c r="D23" s="10">
        <v>1</v>
      </c>
      <c r="E23" s="10">
        <v>225</v>
      </c>
      <c r="F23" s="10">
        <v>363.89</v>
      </c>
      <c r="G23" s="10" t="s">
        <v>44</v>
      </c>
      <c r="H23" s="10" t="s">
        <v>45</v>
      </c>
      <c r="I23" s="10"/>
      <c r="J23" s="10"/>
      <c r="K23" s="10">
        <v>225</v>
      </c>
      <c r="L23" s="10">
        <v>4</v>
      </c>
      <c r="M23" s="10">
        <v>3</v>
      </c>
      <c r="N23" s="10" t="s">
        <v>3</v>
      </c>
      <c r="O23" s="10">
        <v>2</v>
      </c>
      <c r="P23" s="10"/>
    </row>
    <row r="24" spans="1:16" x14ac:dyDescent="0.25">
      <c r="A24" s="10">
        <v>50</v>
      </c>
      <c r="B24" s="10">
        <v>0</v>
      </c>
      <c r="C24" s="10">
        <v>0</v>
      </c>
      <c r="D24" s="10">
        <v>1</v>
      </c>
      <c r="E24" s="10">
        <v>226</v>
      </c>
      <c r="F24" s="10">
        <v>363.89</v>
      </c>
      <c r="G24" s="10" t="s">
        <v>46</v>
      </c>
      <c r="H24" s="10" t="s">
        <v>47</v>
      </c>
      <c r="I24" s="10"/>
      <c r="J24" s="10"/>
      <c r="K24" s="10">
        <v>226</v>
      </c>
      <c r="L24" s="10">
        <v>5</v>
      </c>
      <c r="M24" s="10">
        <v>3</v>
      </c>
      <c r="N24" s="10" t="s">
        <v>3</v>
      </c>
      <c r="O24" s="10">
        <v>2</v>
      </c>
      <c r="P24" s="10"/>
    </row>
    <row r="25" spans="1:16" x14ac:dyDescent="0.25">
      <c r="A25" s="10">
        <v>50</v>
      </c>
      <c r="B25" s="10">
        <v>0</v>
      </c>
      <c r="C25" s="10">
        <v>0</v>
      </c>
      <c r="D25" s="10">
        <v>1</v>
      </c>
      <c r="E25" s="10">
        <v>227</v>
      </c>
      <c r="F25" s="10">
        <v>0</v>
      </c>
      <c r="G25" s="10" t="s">
        <v>48</v>
      </c>
      <c r="H25" s="10" t="s">
        <v>49</v>
      </c>
      <c r="I25" s="10"/>
      <c r="J25" s="10"/>
      <c r="K25" s="10">
        <v>227</v>
      </c>
      <c r="L25" s="10">
        <v>6</v>
      </c>
      <c r="M25" s="10">
        <v>3</v>
      </c>
      <c r="N25" s="10" t="s">
        <v>3</v>
      </c>
      <c r="O25" s="10">
        <v>2</v>
      </c>
      <c r="P25" s="10"/>
    </row>
    <row r="26" spans="1:16" x14ac:dyDescent="0.25">
      <c r="A26" s="10">
        <v>50</v>
      </c>
      <c r="B26" s="10">
        <v>0</v>
      </c>
      <c r="C26" s="10">
        <v>0</v>
      </c>
      <c r="D26" s="10">
        <v>1</v>
      </c>
      <c r="E26" s="10">
        <v>228</v>
      </c>
      <c r="F26" s="10">
        <v>363.89</v>
      </c>
      <c r="G26" s="10" t="s">
        <v>50</v>
      </c>
      <c r="H26" s="10" t="s">
        <v>51</v>
      </c>
      <c r="I26" s="10"/>
      <c r="J26" s="10"/>
      <c r="K26" s="10">
        <v>228</v>
      </c>
      <c r="L26" s="10">
        <v>7</v>
      </c>
      <c r="M26" s="10">
        <v>3</v>
      </c>
      <c r="N26" s="10" t="s">
        <v>3</v>
      </c>
      <c r="O26" s="10">
        <v>2</v>
      </c>
      <c r="P26" s="10"/>
    </row>
    <row r="27" spans="1:16" x14ac:dyDescent="0.25">
      <c r="A27" s="10">
        <v>50</v>
      </c>
      <c r="B27" s="10">
        <v>0</v>
      </c>
      <c r="C27" s="10">
        <v>0</v>
      </c>
      <c r="D27" s="10">
        <v>1</v>
      </c>
      <c r="E27" s="10">
        <v>216</v>
      </c>
      <c r="F27" s="10">
        <v>0</v>
      </c>
      <c r="G27" s="10" t="s">
        <v>52</v>
      </c>
      <c r="H27" s="10" t="s">
        <v>53</v>
      </c>
      <c r="I27" s="10"/>
      <c r="J27" s="10"/>
      <c r="K27" s="10">
        <v>216</v>
      </c>
      <c r="L27" s="10">
        <v>8</v>
      </c>
      <c r="M27" s="10">
        <v>3</v>
      </c>
      <c r="N27" s="10" t="s">
        <v>3</v>
      </c>
      <c r="O27" s="10">
        <v>2</v>
      </c>
      <c r="P27" s="10"/>
    </row>
    <row r="28" spans="1:16" x14ac:dyDescent="0.25">
      <c r="A28" s="10">
        <v>50</v>
      </c>
      <c r="B28" s="10">
        <v>0</v>
      </c>
      <c r="C28" s="10">
        <v>0</v>
      </c>
      <c r="D28" s="10">
        <v>1</v>
      </c>
      <c r="E28" s="10">
        <v>223</v>
      </c>
      <c r="F28" s="10">
        <v>0</v>
      </c>
      <c r="G28" s="10" t="s">
        <v>54</v>
      </c>
      <c r="H28" s="10" t="s">
        <v>55</v>
      </c>
      <c r="I28" s="10"/>
      <c r="J28" s="10"/>
      <c r="K28" s="10">
        <v>223</v>
      </c>
      <c r="L28" s="10">
        <v>9</v>
      </c>
      <c r="M28" s="10">
        <v>3</v>
      </c>
      <c r="N28" s="10" t="s">
        <v>3</v>
      </c>
      <c r="O28" s="10">
        <v>2</v>
      </c>
      <c r="P28" s="10"/>
    </row>
    <row r="29" spans="1:16" x14ac:dyDescent="0.25">
      <c r="A29" s="10">
        <v>50</v>
      </c>
      <c r="B29" s="10">
        <v>0</v>
      </c>
      <c r="C29" s="10">
        <v>0</v>
      </c>
      <c r="D29" s="10">
        <v>1</v>
      </c>
      <c r="E29" s="10">
        <v>229</v>
      </c>
      <c r="F29" s="10">
        <v>0</v>
      </c>
      <c r="G29" s="10" t="s">
        <v>56</v>
      </c>
      <c r="H29" s="10" t="s">
        <v>57</v>
      </c>
      <c r="I29" s="10"/>
      <c r="J29" s="10"/>
      <c r="K29" s="10">
        <v>229</v>
      </c>
      <c r="L29" s="10">
        <v>10</v>
      </c>
      <c r="M29" s="10">
        <v>3</v>
      </c>
      <c r="N29" s="10" t="s">
        <v>3</v>
      </c>
      <c r="O29" s="10">
        <v>2</v>
      </c>
      <c r="P29" s="10"/>
    </row>
    <row r="30" spans="1:16" x14ac:dyDescent="0.25">
      <c r="A30" s="10">
        <v>50</v>
      </c>
      <c r="B30" s="10">
        <v>0</v>
      </c>
      <c r="C30" s="10">
        <v>0</v>
      </c>
      <c r="D30" s="10">
        <v>1</v>
      </c>
      <c r="E30" s="10">
        <v>203</v>
      </c>
      <c r="F30" s="10">
        <v>180.83999999999997</v>
      </c>
      <c r="G30" s="10" t="s">
        <v>58</v>
      </c>
      <c r="H30" s="10" t="s">
        <v>59</v>
      </c>
      <c r="I30" s="10"/>
      <c r="J30" s="10"/>
      <c r="K30" s="10">
        <v>203</v>
      </c>
      <c r="L30" s="10">
        <v>11</v>
      </c>
      <c r="M30" s="10">
        <v>3</v>
      </c>
      <c r="N30" s="10" t="s">
        <v>3</v>
      </c>
      <c r="O30" s="10">
        <v>2</v>
      </c>
      <c r="P30" s="10"/>
    </row>
    <row r="31" spans="1:16" x14ac:dyDescent="0.25">
      <c r="A31" s="10">
        <v>50</v>
      </c>
      <c r="B31" s="10">
        <v>0</v>
      </c>
      <c r="C31" s="10">
        <v>0</v>
      </c>
      <c r="D31" s="10">
        <v>1</v>
      </c>
      <c r="E31" s="10">
        <v>231</v>
      </c>
      <c r="F31" s="10">
        <v>0</v>
      </c>
      <c r="G31" s="10" t="s">
        <v>60</v>
      </c>
      <c r="H31" s="10" t="s">
        <v>61</v>
      </c>
      <c r="I31" s="10"/>
      <c r="J31" s="10"/>
      <c r="K31" s="10">
        <v>231</v>
      </c>
      <c r="L31" s="10">
        <v>12</v>
      </c>
      <c r="M31" s="10">
        <v>3</v>
      </c>
      <c r="N31" s="10" t="s">
        <v>3</v>
      </c>
      <c r="O31" s="10">
        <v>2</v>
      </c>
      <c r="P31" s="10"/>
    </row>
    <row r="32" spans="1:16" x14ac:dyDescent="0.25">
      <c r="A32" s="10">
        <v>50</v>
      </c>
      <c r="B32" s="10">
        <v>0</v>
      </c>
      <c r="C32" s="10">
        <v>0</v>
      </c>
      <c r="D32" s="10">
        <v>1</v>
      </c>
      <c r="E32" s="10">
        <v>204</v>
      </c>
      <c r="F32" s="10">
        <v>80.17</v>
      </c>
      <c r="G32" s="10" t="s">
        <v>62</v>
      </c>
      <c r="H32" s="10" t="s">
        <v>63</v>
      </c>
      <c r="I32" s="10"/>
      <c r="J32" s="10"/>
      <c r="K32" s="10">
        <v>204</v>
      </c>
      <c r="L32" s="10">
        <v>13</v>
      </c>
      <c r="M32" s="10">
        <v>3</v>
      </c>
      <c r="N32" s="10" t="s">
        <v>3</v>
      </c>
      <c r="O32" s="10">
        <v>2</v>
      </c>
      <c r="P32" s="10"/>
    </row>
    <row r="33" spans="1:16" x14ac:dyDescent="0.25">
      <c r="A33" s="10">
        <v>50</v>
      </c>
      <c r="B33" s="10">
        <v>0</v>
      </c>
      <c r="C33" s="10">
        <v>0</v>
      </c>
      <c r="D33" s="10">
        <v>1</v>
      </c>
      <c r="E33" s="10">
        <v>205</v>
      </c>
      <c r="F33" s="10">
        <v>160.82</v>
      </c>
      <c r="G33" s="10" t="s">
        <v>64</v>
      </c>
      <c r="H33" s="10" t="s">
        <v>65</v>
      </c>
      <c r="I33" s="10"/>
      <c r="J33" s="10"/>
      <c r="K33" s="10">
        <v>205</v>
      </c>
      <c r="L33" s="10">
        <v>14</v>
      </c>
      <c r="M33" s="10">
        <v>3</v>
      </c>
      <c r="N33" s="10" t="s">
        <v>3</v>
      </c>
      <c r="O33" s="10">
        <v>2</v>
      </c>
      <c r="P33" s="10"/>
    </row>
    <row r="34" spans="1:16" x14ac:dyDescent="0.25">
      <c r="A34" s="10">
        <v>50</v>
      </c>
      <c r="B34" s="10">
        <v>0</v>
      </c>
      <c r="C34" s="10">
        <v>0</v>
      </c>
      <c r="D34" s="10">
        <v>1</v>
      </c>
      <c r="E34" s="10">
        <v>232</v>
      </c>
      <c r="F34" s="10">
        <v>0</v>
      </c>
      <c r="G34" s="10" t="s">
        <v>66</v>
      </c>
      <c r="H34" s="10" t="s">
        <v>67</v>
      </c>
      <c r="I34" s="10"/>
      <c r="J34" s="10"/>
      <c r="K34" s="10">
        <v>232</v>
      </c>
      <c r="L34" s="10">
        <v>15</v>
      </c>
      <c r="M34" s="10">
        <v>3</v>
      </c>
      <c r="N34" s="10" t="s">
        <v>3</v>
      </c>
      <c r="O34" s="10">
        <v>2</v>
      </c>
      <c r="P34" s="10"/>
    </row>
    <row r="35" spans="1:16" x14ac:dyDescent="0.25">
      <c r="A35" s="10">
        <v>50</v>
      </c>
      <c r="B35" s="10">
        <v>0</v>
      </c>
      <c r="C35" s="10">
        <v>0</v>
      </c>
      <c r="D35" s="10">
        <v>1</v>
      </c>
      <c r="E35" s="10">
        <v>214</v>
      </c>
      <c r="F35" s="10">
        <v>1132.74</v>
      </c>
      <c r="G35" s="10" t="s">
        <v>68</v>
      </c>
      <c r="H35" s="10" t="s">
        <v>69</v>
      </c>
      <c r="I35" s="10"/>
      <c r="J35" s="10"/>
      <c r="K35" s="10">
        <v>214</v>
      </c>
      <c r="L35" s="10">
        <v>16</v>
      </c>
      <c r="M35" s="10">
        <v>3</v>
      </c>
      <c r="N35" s="10" t="s">
        <v>3</v>
      </c>
      <c r="O35" s="10">
        <v>2</v>
      </c>
      <c r="P35" s="10"/>
    </row>
    <row r="36" spans="1:16" x14ac:dyDescent="0.25">
      <c r="A36" s="10">
        <v>50</v>
      </c>
      <c r="B36" s="10">
        <v>0</v>
      </c>
      <c r="C36" s="10">
        <v>0</v>
      </c>
      <c r="D36" s="10">
        <v>1</v>
      </c>
      <c r="E36" s="10">
        <v>215</v>
      </c>
      <c r="F36" s="10">
        <v>0</v>
      </c>
      <c r="G36" s="10" t="s">
        <v>70</v>
      </c>
      <c r="H36" s="10" t="s">
        <v>71</v>
      </c>
      <c r="I36" s="10"/>
      <c r="J36" s="10"/>
      <c r="K36" s="10">
        <v>215</v>
      </c>
      <c r="L36" s="10">
        <v>17</v>
      </c>
      <c r="M36" s="10">
        <v>3</v>
      </c>
      <c r="N36" s="10" t="s">
        <v>3</v>
      </c>
      <c r="O36" s="10">
        <v>2</v>
      </c>
      <c r="P36" s="10"/>
    </row>
    <row r="37" spans="1:16" x14ac:dyDescent="0.25">
      <c r="A37" s="10">
        <v>50</v>
      </c>
      <c r="B37" s="10">
        <v>0</v>
      </c>
      <c r="C37" s="10">
        <v>0</v>
      </c>
      <c r="D37" s="10">
        <v>1</v>
      </c>
      <c r="E37" s="10">
        <v>217</v>
      </c>
      <c r="F37" s="10">
        <v>0</v>
      </c>
      <c r="G37" s="10" t="s">
        <v>72</v>
      </c>
      <c r="H37" s="10" t="s">
        <v>73</v>
      </c>
      <c r="I37" s="10"/>
      <c r="J37" s="10"/>
      <c r="K37" s="10">
        <v>217</v>
      </c>
      <c r="L37" s="10">
        <v>18</v>
      </c>
      <c r="M37" s="10">
        <v>3</v>
      </c>
      <c r="N37" s="10" t="s">
        <v>3</v>
      </c>
      <c r="O37" s="10">
        <v>2</v>
      </c>
      <c r="P37" s="10"/>
    </row>
    <row r="38" spans="1:16" x14ac:dyDescent="0.25">
      <c r="A38" s="10">
        <v>50</v>
      </c>
      <c r="B38" s="10">
        <v>0</v>
      </c>
      <c r="C38" s="10">
        <v>0</v>
      </c>
      <c r="D38" s="10">
        <v>1</v>
      </c>
      <c r="E38" s="10">
        <v>230</v>
      </c>
      <c r="F38" s="10">
        <v>0</v>
      </c>
      <c r="G38" s="10" t="s">
        <v>74</v>
      </c>
      <c r="H38" s="10" t="s">
        <v>75</v>
      </c>
      <c r="I38" s="10"/>
      <c r="J38" s="10"/>
      <c r="K38" s="10">
        <v>230</v>
      </c>
      <c r="L38" s="10">
        <v>19</v>
      </c>
      <c r="M38" s="10">
        <v>3</v>
      </c>
      <c r="N38" s="10" t="s">
        <v>3</v>
      </c>
      <c r="O38" s="10">
        <v>2</v>
      </c>
      <c r="P38" s="10"/>
    </row>
    <row r="39" spans="1:16" x14ac:dyDescent="0.25">
      <c r="A39" s="10">
        <v>50</v>
      </c>
      <c r="B39" s="10">
        <v>0</v>
      </c>
      <c r="C39" s="10">
        <v>0</v>
      </c>
      <c r="D39" s="10">
        <v>1</v>
      </c>
      <c r="E39" s="10">
        <v>206</v>
      </c>
      <c r="F39" s="10">
        <v>0</v>
      </c>
      <c r="G39" s="10" t="s">
        <v>76</v>
      </c>
      <c r="H39" s="10" t="s">
        <v>77</v>
      </c>
      <c r="I39" s="10"/>
      <c r="J39" s="10"/>
      <c r="K39" s="10">
        <v>206</v>
      </c>
      <c r="L39" s="10">
        <v>20</v>
      </c>
      <c r="M39" s="10">
        <v>3</v>
      </c>
      <c r="N39" s="10" t="s">
        <v>3</v>
      </c>
      <c r="O39" s="10">
        <v>2</v>
      </c>
      <c r="P39" s="10"/>
    </row>
    <row r="40" spans="1:16" x14ac:dyDescent="0.25">
      <c r="A40" s="10">
        <v>50</v>
      </c>
      <c r="B40" s="10">
        <v>0</v>
      </c>
      <c r="C40" s="10">
        <v>0</v>
      </c>
      <c r="D40" s="10">
        <v>1</v>
      </c>
      <c r="E40" s="10">
        <v>207</v>
      </c>
      <c r="F40" s="10">
        <v>0.29360000000000003</v>
      </c>
      <c r="G40" s="10" t="s">
        <v>78</v>
      </c>
      <c r="H40" s="10" t="s">
        <v>79</v>
      </c>
      <c r="I40" s="10"/>
      <c r="J40" s="10"/>
      <c r="K40" s="10">
        <v>207</v>
      </c>
      <c r="L40" s="10">
        <v>21</v>
      </c>
      <c r="M40" s="10">
        <v>3</v>
      </c>
      <c r="N40" s="10" t="s">
        <v>3</v>
      </c>
      <c r="O40" s="10">
        <v>-1</v>
      </c>
      <c r="P40" s="10"/>
    </row>
    <row r="41" spans="1:16" x14ac:dyDescent="0.25">
      <c r="A41" s="10">
        <v>50</v>
      </c>
      <c r="B41" s="10">
        <v>0</v>
      </c>
      <c r="C41" s="10">
        <v>0</v>
      </c>
      <c r="D41" s="10">
        <v>1</v>
      </c>
      <c r="E41" s="10">
        <v>208</v>
      </c>
      <c r="F41" s="10">
        <v>0.1182</v>
      </c>
      <c r="G41" s="10" t="s">
        <v>80</v>
      </c>
      <c r="H41" s="10" t="s">
        <v>81</v>
      </c>
      <c r="I41" s="10"/>
      <c r="J41" s="10"/>
      <c r="K41" s="10">
        <v>208</v>
      </c>
      <c r="L41" s="10">
        <v>22</v>
      </c>
      <c r="M41" s="10">
        <v>3</v>
      </c>
      <c r="N41" s="10" t="s">
        <v>3</v>
      </c>
      <c r="O41" s="10">
        <v>-1</v>
      </c>
      <c r="P41" s="10"/>
    </row>
    <row r="42" spans="1:16" x14ac:dyDescent="0.25">
      <c r="A42" s="10">
        <v>50</v>
      </c>
      <c r="B42" s="10">
        <v>0</v>
      </c>
      <c r="C42" s="10">
        <v>0</v>
      </c>
      <c r="D42" s="10">
        <v>1</v>
      </c>
      <c r="E42" s="10">
        <v>209</v>
      </c>
      <c r="F42" s="10">
        <v>0</v>
      </c>
      <c r="G42" s="10" t="s">
        <v>82</v>
      </c>
      <c r="H42" s="10" t="s">
        <v>83</v>
      </c>
      <c r="I42" s="10"/>
      <c r="J42" s="10"/>
      <c r="K42" s="10">
        <v>209</v>
      </c>
      <c r="L42" s="10">
        <v>23</v>
      </c>
      <c r="M42" s="10">
        <v>3</v>
      </c>
      <c r="N42" s="10" t="s">
        <v>3</v>
      </c>
      <c r="O42" s="10">
        <v>2</v>
      </c>
      <c r="P42" s="10"/>
    </row>
    <row r="43" spans="1:16" x14ac:dyDescent="0.25">
      <c r="A43" s="10">
        <v>50</v>
      </c>
      <c r="B43" s="10">
        <v>0</v>
      </c>
      <c r="C43" s="10">
        <v>0</v>
      </c>
      <c r="D43" s="10">
        <v>1</v>
      </c>
      <c r="E43" s="10">
        <v>233</v>
      </c>
      <c r="F43" s="10">
        <v>0</v>
      </c>
      <c r="G43" s="10" t="s">
        <v>84</v>
      </c>
      <c r="H43" s="10" t="s">
        <v>85</v>
      </c>
      <c r="I43" s="10"/>
      <c r="J43" s="10"/>
      <c r="K43" s="10">
        <v>233</v>
      </c>
      <c r="L43" s="10">
        <v>24</v>
      </c>
      <c r="M43" s="10">
        <v>3</v>
      </c>
      <c r="N43" s="10" t="s">
        <v>3</v>
      </c>
      <c r="O43" s="10">
        <v>2</v>
      </c>
      <c r="P43" s="10"/>
    </row>
    <row r="44" spans="1:16" x14ac:dyDescent="0.25">
      <c r="A44" s="10">
        <v>50</v>
      </c>
      <c r="B44" s="10">
        <v>0</v>
      </c>
      <c r="C44" s="10">
        <v>0</v>
      </c>
      <c r="D44" s="10">
        <v>1</v>
      </c>
      <c r="E44" s="10">
        <v>210</v>
      </c>
      <c r="F44" s="10">
        <v>221.71</v>
      </c>
      <c r="G44" s="10" t="s">
        <v>86</v>
      </c>
      <c r="H44" s="10" t="s">
        <v>87</v>
      </c>
      <c r="I44" s="10"/>
      <c r="J44" s="10"/>
      <c r="K44" s="10">
        <v>210</v>
      </c>
      <c r="L44" s="10">
        <v>25</v>
      </c>
      <c r="M44" s="10">
        <v>3</v>
      </c>
      <c r="N44" s="10" t="s">
        <v>3</v>
      </c>
      <c r="O44" s="10">
        <v>2</v>
      </c>
      <c r="P44" s="10"/>
    </row>
    <row r="45" spans="1:16" x14ac:dyDescent="0.25">
      <c r="A45" s="10">
        <v>50</v>
      </c>
      <c r="B45" s="10">
        <v>0</v>
      </c>
      <c r="C45" s="10">
        <v>0</v>
      </c>
      <c r="D45" s="10">
        <v>1</v>
      </c>
      <c r="E45" s="10">
        <v>211</v>
      </c>
      <c r="F45" s="10">
        <v>125.31</v>
      </c>
      <c r="G45" s="10" t="s">
        <v>88</v>
      </c>
      <c r="H45" s="10" t="s">
        <v>89</v>
      </c>
      <c r="I45" s="10"/>
      <c r="J45" s="10"/>
      <c r="K45" s="10">
        <v>211</v>
      </c>
      <c r="L45" s="10">
        <v>26</v>
      </c>
      <c r="M45" s="10">
        <v>3</v>
      </c>
      <c r="N45" s="10" t="s">
        <v>3</v>
      </c>
      <c r="O45" s="10">
        <v>2</v>
      </c>
      <c r="P45" s="10"/>
    </row>
    <row r="46" spans="1:16" x14ac:dyDescent="0.25">
      <c r="A46" s="10">
        <v>50</v>
      </c>
      <c r="B46" s="10">
        <v>0</v>
      </c>
      <c r="C46" s="10">
        <v>0</v>
      </c>
      <c r="D46" s="10">
        <v>1</v>
      </c>
      <c r="E46" s="10">
        <v>224</v>
      </c>
      <c r="F46" s="10">
        <v>1132.74</v>
      </c>
      <c r="G46" s="10" t="s">
        <v>90</v>
      </c>
      <c r="H46" s="10" t="s">
        <v>91</v>
      </c>
      <c r="I46" s="10"/>
      <c r="J46" s="10"/>
      <c r="K46" s="10">
        <v>224</v>
      </c>
      <c r="L46" s="10">
        <v>27</v>
      </c>
      <c r="M46" s="10">
        <v>3</v>
      </c>
      <c r="N46" s="10" t="s">
        <v>3</v>
      </c>
      <c r="O46" s="10">
        <v>2</v>
      </c>
      <c r="P46" s="10"/>
    </row>
    <row r="47" spans="1:16" x14ac:dyDescent="0.25">
      <c r="A47" s="10">
        <v>50</v>
      </c>
      <c r="B47" s="10">
        <v>1</v>
      </c>
      <c r="C47" s="10">
        <v>0</v>
      </c>
      <c r="D47" s="10">
        <v>2</v>
      </c>
      <c r="E47" s="10">
        <v>0</v>
      </c>
      <c r="F47" s="10">
        <v>249.2</v>
      </c>
      <c r="G47" s="10" t="s">
        <v>92</v>
      </c>
      <c r="H47" s="10" t="s">
        <v>93</v>
      </c>
      <c r="I47" s="10"/>
      <c r="J47" s="10"/>
      <c r="K47" s="10">
        <v>212</v>
      </c>
      <c r="L47" s="10">
        <v>28</v>
      </c>
      <c r="M47" s="10">
        <v>0</v>
      </c>
      <c r="N47" s="10" t="s">
        <v>3</v>
      </c>
      <c r="O47" s="10">
        <v>2</v>
      </c>
      <c r="P47" s="10"/>
    </row>
    <row r="48" spans="1:16" x14ac:dyDescent="0.25">
      <c r="A48" s="10">
        <v>50</v>
      </c>
      <c r="B48" s="10">
        <v>1</v>
      </c>
      <c r="C48" s="10">
        <v>0</v>
      </c>
      <c r="D48" s="10">
        <v>2</v>
      </c>
      <c r="E48" s="10">
        <v>0</v>
      </c>
      <c r="F48" s="10">
        <v>1381.94</v>
      </c>
      <c r="G48" s="10" t="s">
        <v>94</v>
      </c>
      <c r="H48" s="10" t="s">
        <v>95</v>
      </c>
      <c r="I48" s="10"/>
      <c r="J48" s="10"/>
      <c r="K48" s="10">
        <v>212</v>
      </c>
      <c r="L48" s="10">
        <v>29</v>
      </c>
      <c r="M48" s="10">
        <v>0</v>
      </c>
      <c r="N48" s="10" t="s">
        <v>3</v>
      </c>
      <c r="O48" s="10">
        <v>2</v>
      </c>
      <c r="P48" s="10"/>
    </row>
    <row r="50" spans="1:50" x14ac:dyDescent="0.25">
      <c r="A50" s="2">
        <v>-1</v>
      </c>
    </row>
    <row r="53" spans="1:50" x14ac:dyDescent="0.25">
      <c r="A53" s="11">
        <v>75</v>
      </c>
      <c r="B53" s="11" t="s">
        <v>162</v>
      </c>
      <c r="C53" s="11">
        <v>2026</v>
      </c>
      <c r="D53" s="11">
        <v>0</v>
      </c>
      <c r="E53" s="11">
        <v>3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17308916</v>
      </c>
      <c r="O53" s="11">
        <v>1</v>
      </c>
    </row>
    <row r="54" spans="1:50" x14ac:dyDescent="0.25">
      <c r="A54" s="12">
        <v>2</v>
      </c>
      <c r="B54" s="12" t="s">
        <v>163</v>
      </c>
      <c r="C54" s="12" t="s">
        <v>164</v>
      </c>
      <c r="D54" s="12">
        <v>0</v>
      </c>
      <c r="E54" s="12">
        <v>0</v>
      </c>
      <c r="F54" s="12">
        <v>0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>
        <v>17308917</v>
      </c>
    </row>
    <row r="55" spans="1:50" x14ac:dyDescent="0.25">
      <c r="A55" s="12">
        <v>1</v>
      </c>
      <c r="B55" s="12" t="s">
        <v>165</v>
      </c>
      <c r="C55" s="12" t="s">
        <v>166</v>
      </c>
      <c r="D55" s="12">
        <v>2026</v>
      </c>
      <c r="E55" s="12">
        <v>3</v>
      </c>
      <c r="F55" s="12">
        <v>1</v>
      </c>
      <c r="G55" s="12">
        <v>1</v>
      </c>
      <c r="H55" s="12">
        <v>0</v>
      </c>
      <c r="I55" s="12">
        <v>2</v>
      </c>
      <c r="J55" s="12">
        <v>1</v>
      </c>
      <c r="K55" s="12">
        <v>1</v>
      </c>
      <c r="L55" s="12">
        <v>1</v>
      </c>
      <c r="M55" s="12">
        <v>1</v>
      </c>
      <c r="N55" s="12">
        <v>1</v>
      </c>
      <c r="O55" s="12">
        <v>1</v>
      </c>
      <c r="P55" s="12">
        <v>1</v>
      </c>
      <c r="Q55" s="12">
        <v>1</v>
      </c>
      <c r="R55" s="12" t="s">
        <v>3</v>
      </c>
      <c r="S55" s="12" t="s">
        <v>3</v>
      </c>
      <c r="T55" s="12" t="s">
        <v>3</v>
      </c>
      <c r="U55" s="12" t="s">
        <v>3</v>
      </c>
      <c r="V55" s="12" t="s">
        <v>3</v>
      </c>
      <c r="W55" s="12" t="s">
        <v>3</v>
      </c>
      <c r="X55" s="12" t="s">
        <v>3</v>
      </c>
      <c r="Y55" s="12" t="s">
        <v>3</v>
      </c>
      <c r="Z55" s="12" t="s">
        <v>3</v>
      </c>
      <c r="AA55" s="12" t="s">
        <v>3</v>
      </c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>
        <v>17308918</v>
      </c>
      <c r="AO55" s="12" t="s">
        <v>167</v>
      </c>
      <c r="AP55" s="12" t="s">
        <v>168</v>
      </c>
      <c r="AQ55" s="12">
        <v>46078</v>
      </c>
      <c r="AR55" s="12">
        <v>409</v>
      </c>
      <c r="AS55" s="12" t="s">
        <v>169</v>
      </c>
      <c r="AT55" s="12" t="s">
        <v>170</v>
      </c>
      <c r="AU55" s="12" t="s">
        <v>168</v>
      </c>
      <c r="AV55" s="12">
        <v>45720</v>
      </c>
      <c r="AW55" s="12">
        <v>20</v>
      </c>
      <c r="AX55" s="12" t="s">
        <v>171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"/>
  <sheetViews>
    <sheetView workbookViewId="0"/>
  </sheetViews>
  <sheetFormatPr defaultColWidth="9.109375" defaultRowHeight="13.2" x14ac:dyDescent="0.25"/>
  <cols>
    <col min="1" max="256" width="9.109375" customWidth="1"/>
  </cols>
  <sheetData>
    <row r="1" spans="1:119" x14ac:dyDescent="0.25">
      <c r="A1">
        <f>ROW(Source!A24)</f>
        <v>24</v>
      </c>
      <c r="B1">
        <v>17308916</v>
      </c>
      <c r="C1">
        <v>17308936</v>
      </c>
      <c r="D1">
        <v>16020067</v>
      </c>
      <c r="E1">
        <v>113</v>
      </c>
      <c r="F1">
        <v>1</v>
      </c>
      <c r="G1">
        <v>1</v>
      </c>
      <c r="H1">
        <v>1</v>
      </c>
      <c r="I1" t="s">
        <v>173</v>
      </c>
      <c r="J1" t="s">
        <v>3</v>
      </c>
      <c r="K1" t="s">
        <v>174</v>
      </c>
      <c r="L1">
        <v>1191</v>
      </c>
      <c r="N1">
        <v>1013</v>
      </c>
      <c r="O1" t="s">
        <v>175</v>
      </c>
      <c r="P1" t="s">
        <v>175</v>
      </c>
      <c r="Q1">
        <v>1</v>
      </c>
      <c r="W1">
        <v>0</v>
      </c>
      <c r="X1">
        <v>174150515</v>
      </c>
      <c r="Y1">
        <f t="shared" ref="Y1:Y6" si="0">AT1</f>
        <v>29.36</v>
      </c>
      <c r="AA1">
        <v>0</v>
      </c>
      <c r="AB1">
        <v>0</v>
      </c>
      <c r="AC1">
        <v>0</v>
      </c>
      <c r="AD1">
        <v>547.74</v>
      </c>
      <c r="AE1">
        <v>0</v>
      </c>
      <c r="AF1">
        <v>0</v>
      </c>
      <c r="AG1">
        <v>0</v>
      </c>
      <c r="AH1">
        <v>547.74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29.36</v>
      </c>
      <c r="AU1" t="s">
        <v>3</v>
      </c>
      <c r="AV1">
        <v>1</v>
      </c>
      <c r="AW1">
        <v>2</v>
      </c>
      <c r="AX1">
        <v>17308937</v>
      </c>
      <c r="AY1">
        <v>2</v>
      </c>
      <c r="AZ1">
        <v>131072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16081.6464</v>
      </c>
      <c r="BN1">
        <v>29.36</v>
      </c>
      <c r="BO1">
        <v>0</v>
      </c>
      <c r="BP1">
        <v>1</v>
      </c>
      <c r="BQ1">
        <v>0</v>
      </c>
      <c r="BR1">
        <v>0</v>
      </c>
      <c r="BS1">
        <v>0</v>
      </c>
      <c r="BT1">
        <v>16081.6464</v>
      </c>
      <c r="BU1">
        <v>29.36</v>
      </c>
      <c r="BV1">
        <v>0</v>
      </c>
      <c r="BW1">
        <v>1</v>
      </c>
      <c r="CU1">
        <f>ROUND(AT1*Source!I24*AH1*AL1,2)</f>
        <v>160.82</v>
      </c>
      <c r="CV1">
        <f>ROUND(Y1*Source!I24,7)</f>
        <v>0.29360000000000003</v>
      </c>
      <c r="CW1">
        <v>0</v>
      </c>
      <c r="CX1">
        <f>ROUND(Y1*Source!I24,7)</f>
        <v>0.29360000000000003</v>
      </c>
      <c r="CY1">
        <f>AD1</f>
        <v>547.74</v>
      </c>
      <c r="CZ1">
        <f>AH1</f>
        <v>547.74</v>
      </c>
      <c r="DA1">
        <f>AL1</f>
        <v>1</v>
      </c>
      <c r="DB1">
        <f t="shared" ref="DB1:DB6" si="1">ROUND(ROUND(AT1*CZ1,2),6)</f>
        <v>16081.65</v>
      </c>
      <c r="DC1">
        <f t="shared" ref="DC1:DC6" si="2">ROUND(ROUND(AT1*AG1,2),6)</f>
        <v>0</v>
      </c>
      <c r="DD1" t="s">
        <v>3</v>
      </c>
      <c r="DE1" t="s">
        <v>3</v>
      </c>
      <c r="DF1">
        <f>ROUND(ROUND(AE1,2)*CX1,2)</f>
        <v>0</v>
      </c>
      <c r="DG1">
        <f t="shared" ref="DG1:DG6" si="3">ROUND(ROUND(AF1,2)*CX1,2)</f>
        <v>0</v>
      </c>
      <c r="DH1">
        <f t="shared" ref="DH1:DH6" si="4">ROUND(ROUND(AG1,2)*CX1,2)</f>
        <v>0</v>
      </c>
      <c r="DI1">
        <f t="shared" ref="DI1:DI6" si="5">ROUND(ROUND(AH1,2)*CX1,2)</f>
        <v>160.82</v>
      </c>
      <c r="DJ1">
        <f>DI1</f>
        <v>160.82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5">
      <c r="A2">
        <f>ROW(Source!A24)</f>
        <v>24</v>
      </c>
      <c r="B2">
        <v>17308916</v>
      </c>
      <c r="C2">
        <v>17308936</v>
      </c>
      <c r="D2">
        <v>16020303</v>
      </c>
      <c r="E2">
        <v>113</v>
      </c>
      <c r="F2">
        <v>1</v>
      </c>
      <c r="G2">
        <v>1</v>
      </c>
      <c r="H2">
        <v>1</v>
      </c>
      <c r="I2" t="s">
        <v>176</v>
      </c>
      <c r="J2" t="s">
        <v>3</v>
      </c>
      <c r="K2" t="s">
        <v>177</v>
      </c>
      <c r="L2">
        <v>1191</v>
      </c>
      <c r="N2">
        <v>1013</v>
      </c>
      <c r="O2" t="s">
        <v>175</v>
      </c>
      <c r="P2" t="s">
        <v>175</v>
      </c>
      <c r="Q2">
        <v>1</v>
      </c>
      <c r="W2">
        <v>0</v>
      </c>
      <c r="X2">
        <v>-1417349443</v>
      </c>
      <c r="Y2">
        <f t="shared" si="0"/>
        <v>11.82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11.82</v>
      </c>
      <c r="AU2" t="s">
        <v>3</v>
      </c>
      <c r="AV2">
        <v>2</v>
      </c>
      <c r="AW2">
        <v>2</v>
      </c>
      <c r="AX2">
        <v>17308938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ROUND(Y2*Source!I24,7)</f>
        <v>0.1182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>ROUND(ROUND(AE2,2)*CX2,2)</f>
        <v>0</v>
      </c>
      <c r="DG2">
        <f t="shared" si="3"/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5">
      <c r="A3">
        <f>ROW(Source!A24)</f>
        <v>24</v>
      </c>
      <c r="B3">
        <v>17308916</v>
      </c>
      <c r="C3">
        <v>17308936</v>
      </c>
      <c r="D3">
        <v>16243941</v>
      </c>
      <c r="E3">
        <v>1</v>
      </c>
      <c r="F3">
        <v>1</v>
      </c>
      <c r="G3">
        <v>1</v>
      </c>
      <c r="H3">
        <v>2</v>
      </c>
      <c r="I3" t="s">
        <v>178</v>
      </c>
      <c r="J3" t="s">
        <v>179</v>
      </c>
      <c r="K3" t="s">
        <v>180</v>
      </c>
      <c r="L3">
        <v>1368</v>
      </c>
      <c r="N3">
        <v>1011</v>
      </c>
      <c r="O3" t="s">
        <v>181</v>
      </c>
      <c r="P3" t="s">
        <v>181</v>
      </c>
      <c r="Q3">
        <v>1</v>
      </c>
      <c r="W3">
        <v>0</v>
      </c>
      <c r="X3">
        <v>2123458781</v>
      </c>
      <c r="Y3">
        <f t="shared" si="0"/>
        <v>5.73</v>
      </c>
      <c r="AA3">
        <v>0</v>
      </c>
      <c r="AB3">
        <v>2716.21</v>
      </c>
      <c r="AC3">
        <v>825.64</v>
      </c>
      <c r="AD3">
        <v>0</v>
      </c>
      <c r="AE3">
        <v>0</v>
      </c>
      <c r="AF3">
        <v>2716.21</v>
      </c>
      <c r="AG3">
        <v>825.64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5.73</v>
      </c>
      <c r="AU3" t="s">
        <v>3</v>
      </c>
      <c r="AV3">
        <v>1</v>
      </c>
      <c r="AW3">
        <v>2</v>
      </c>
      <c r="AX3">
        <v>17308939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15563.883300000001</v>
      </c>
      <c r="BL3">
        <v>4730.9171999999999</v>
      </c>
      <c r="BM3">
        <v>0</v>
      </c>
      <c r="BN3">
        <v>0</v>
      </c>
      <c r="BO3">
        <v>5.73</v>
      </c>
      <c r="BP3">
        <v>1</v>
      </c>
      <c r="BQ3">
        <v>0</v>
      </c>
      <c r="BR3">
        <v>15563.883300000001</v>
      </c>
      <c r="BS3">
        <v>4730.9171999999999</v>
      </c>
      <c r="BT3">
        <v>0</v>
      </c>
      <c r="BU3">
        <v>0</v>
      </c>
      <c r="BV3">
        <v>5.73</v>
      </c>
      <c r="BW3">
        <v>1</v>
      </c>
      <c r="CV3">
        <v>0</v>
      </c>
      <c r="CW3">
        <f>ROUND(Y3*Source!I24*DO3,7)</f>
        <v>5.7299999999999997E-2</v>
      </c>
      <c r="CX3">
        <f>ROUND(Y3*Source!I24,7)</f>
        <v>5.7299999999999997E-2</v>
      </c>
      <c r="CY3">
        <f>AB3</f>
        <v>2716.21</v>
      </c>
      <c r="CZ3">
        <f>AF3</f>
        <v>2716.21</v>
      </c>
      <c r="DA3">
        <f>AJ3</f>
        <v>1</v>
      </c>
      <c r="DB3">
        <f t="shared" si="1"/>
        <v>15563.88</v>
      </c>
      <c r="DC3">
        <f t="shared" si="2"/>
        <v>4730.92</v>
      </c>
      <c r="DD3" t="s">
        <v>3</v>
      </c>
      <c r="DE3" t="s">
        <v>3</v>
      </c>
      <c r="DF3">
        <f>ROUND(ROUND(AE3,2)*CX3,2)</f>
        <v>0</v>
      </c>
      <c r="DG3">
        <f t="shared" si="3"/>
        <v>155.63999999999999</v>
      </c>
      <c r="DH3">
        <f t="shared" si="4"/>
        <v>47.31</v>
      </c>
      <c r="DI3">
        <f t="shared" si="5"/>
        <v>0</v>
      </c>
      <c r="DJ3">
        <f>DG3+DH3</f>
        <v>202.95</v>
      </c>
      <c r="DK3">
        <v>1</v>
      </c>
      <c r="DL3" t="s">
        <v>182</v>
      </c>
      <c r="DM3">
        <v>8</v>
      </c>
      <c r="DN3" t="s">
        <v>175</v>
      </c>
      <c r="DO3">
        <v>1</v>
      </c>
    </row>
    <row r="4" spans="1:119" x14ac:dyDescent="0.25">
      <c r="A4">
        <f>ROW(Source!A24)</f>
        <v>24</v>
      </c>
      <c r="B4">
        <v>17308916</v>
      </c>
      <c r="C4">
        <v>17308936</v>
      </c>
      <c r="D4">
        <v>16245035</v>
      </c>
      <c r="E4">
        <v>1</v>
      </c>
      <c r="F4">
        <v>1</v>
      </c>
      <c r="G4">
        <v>1</v>
      </c>
      <c r="H4">
        <v>2</v>
      </c>
      <c r="I4" t="s">
        <v>183</v>
      </c>
      <c r="J4" t="s">
        <v>184</v>
      </c>
      <c r="K4" t="s">
        <v>185</v>
      </c>
      <c r="L4">
        <v>1368</v>
      </c>
      <c r="N4">
        <v>1011</v>
      </c>
      <c r="O4" t="s">
        <v>181</v>
      </c>
      <c r="P4" t="s">
        <v>181</v>
      </c>
      <c r="Q4">
        <v>1</v>
      </c>
      <c r="W4">
        <v>0</v>
      </c>
      <c r="X4">
        <v>1489071418</v>
      </c>
      <c r="Y4">
        <f t="shared" si="0"/>
        <v>0.36</v>
      </c>
      <c r="AA4">
        <v>0</v>
      </c>
      <c r="AB4">
        <v>641.70000000000005</v>
      </c>
      <c r="AC4">
        <v>539.69000000000005</v>
      </c>
      <c r="AD4">
        <v>0</v>
      </c>
      <c r="AE4">
        <v>0</v>
      </c>
      <c r="AF4">
        <v>641.70000000000005</v>
      </c>
      <c r="AG4">
        <v>539.69000000000005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0.36</v>
      </c>
      <c r="AU4" t="s">
        <v>3</v>
      </c>
      <c r="AV4">
        <v>1</v>
      </c>
      <c r="AW4">
        <v>2</v>
      </c>
      <c r="AX4">
        <v>17308940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231.012</v>
      </c>
      <c r="BL4">
        <v>194.28840000000002</v>
      </c>
      <c r="BM4">
        <v>0</v>
      </c>
      <c r="BN4">
        <v>0</v>
      </c>
      <c r="BO4">
        <v>0.36</v>
      </c>
      <c r="BP4">
        <v>1</v>
      </c>
      <c r="BQ4">
        <v>0</v>
      </c>
      <c r="BR4">
        <v>231.012</v>
      </c>
      <c r="BS4">
        <v>194.28840000000002</v>
      </c>
      <c r="BT4">
        <v>0</v>
      </c>
      <c r="BU4">
        <v>0</v>
      </c>
      <c r="BV4">
        <v>0.36</v>
      </c>
      <c r="BW4">
        <v>1</v>
      </c>
      <c r="CV4">
        <v>0</v>
      </c>
      <c r="CW4">
        <f>ROUND(Y4*Source!I24*DO4,7)</f>
        <v>3.5999999999999999E-3</v>
      </c>
      <c r="CX4">
        <f>ROUND(Y4*Source!I24,7)</f>
        <v>3.5999999999999999E-3</v>
      </c>
      <c r="CY4">
        <f>AB4</f>
        <v>641.70000000000005</v>
      </c>
      <c r="CZ4">
        <f>AF4</f>
        <v>641.70000000000005</v>
      </c>
      <c r="DA4">
        <f>AJ4</f>
        <v>1</v>
      </c>
      <c r="DB4">
        <f t="shared" si="1"/>
        <v>231.01</v>
      </c>
      <c r="DC4">
        <f t="shared" si="2"/>
        <v>194.29</v>
      </c>
      <c r="DD4" t="s">
        <v>3</v>
      </c>
      <c r="DE4" t="s">
        <v>3</v>
      </c>
      <c r="DF4">
        <f>ROUND(ROUND(AE4,2)*CX4,2)</f>
        <v>0</v>
      </c>
      <c r="DG4">
        <f t="shared" si="3"/>
        <v>2.31</v>
      </c>
      <c r="DH4">
        <f t="shared" si="4"/>
        <v>1.94</v>
      </c>
      <c r="DI4">
        <f t="shared" si="5"/>
        <v>0</v>
      </c>
      <c r="DJ4">
        <f>DG4+DH4</f>
        <v>4.25</v>
      </c>
      <c r="DK4">
        <v>1</v>
      </c>
      <c r="DL4" t="s">
        <v>186</v>
      </c>
      <c r="DM4">
        <v>4</v>
      </c>
      <c r="DN4" t="s">
        <v>175</v>
      </c>
      <c r="DO4">
        <v>1</v>
      </c>
    </row>
    <row r="5" spans="1:119" x14ac:dyDescent="0.25">
      <c r="A5">
        <f>ROW(Source!A24)</f>
        <v>24</v>
      </c>
      <c r="B5">
        <v>17308916</v>
      </c>
      <c r="C5">
        <v>17308936</v>
      </c>
      <c r="D5">
        <v>16245387</v>
      </c>
      <c r="E5">
        <v>1</v>
      </c>
      <c r="F5">
        <v>1</v>
      </c>
      <c r="G5">
        <v>1</v>
      </c>
      <c r="H5">
        <v>2</v>
      </c>
      <c r="I5" t="s">
        <v>187</v>
      </c>
      <c r="J5" t="s">
        <v>188</v>
      </c>
      <c r="K5" t="s">
        <v>189</v>
      </c>
      <c r="L5">
        <v>1368</v>
      </c>
      <c r="N5">
        <v>1011</v>
      </c>
      <c r="O5" t="s">
        <v>181</v>
      </c>
      <c r="P5" t="s">
        <v>181</v>
      </c>
      <c r="Q5">
        <v>1</v>
      </c>
      <c r="W5">
        <v>0</v>
      </c>
      <c r="X5">
        <v>-637871240</v>
      </c>
      <c r="Y5">
        <f t="shared" si="0"/>
        <v>5.73</v>
      </c>
      <c r="AA5">
        <v>0</v>
      </c>
      <c r="AB5">
        <v>399.44</v>
      </c>
      <c r="AC5">
        <v>539.69000000000005</v>
      </c>
      <c r="AD5">
        <v>0</v>
      </c>
      <c r="AE5">
        <v>0</v>
      </c>
      <c r="AF5">
        <v>399.44</v>
      </c>
      <c r="AG5">
        <v>539.69000000000005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5.73</v>
      </c>
      <c r="AU5" t="s">
        <v>3</v>
      </c>
      <c r="AV5">
        <v>1</v>
      </c>
      <c r="AW5">
        <v>2</v>
      </c>
      <c r="AX5">
        <v>17308941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2288.7912000000001</v>
      </c>
      <c r="BL5">
        <v>3092.4237000000007</v>
      </c>
      <c r="BM5">
        <v>0</v>
      </c>
      <c r="BN5">
        <v>0</v>
      </c>
      <c r="BO5">
        <v>5.73</v>
      </c>
      <c r="BP5">
        <v>1</v>
      </c>
      <c r="BQ5">
        <v>0</v>
      </c>
      <c r="BR5">
        <v>2288.7912000000001</v>
      </c>
      <c r="BS5">
        <v>3092.4237000000007</v>
      </c>
      <c r="BT5">
        <v>0</v>
      </c>
      <c r="BU5">
        <v>0</v>
      </c>
      <c r="BV5">
        <v>5.73</v>
      </c>
      <c r="BW5">
        <v>1</v>
      </c>
      <c r="CV5">
        <v>0</v>
      </c>
      <c r="CW5">
        <f>ROUND(Y5*Source!I24*DO5,7)</f>
        <v>5.7299999999999997E-2</v>
      </c>
      <c r="CX5">
        <f>ROUND(Y5*Source!I24,7)</f>
        <v>5.7299999999999997E-2</v>
      </c>
      <c r="CY5">
        <f>AB5</f>
        <v>399.44</v>
      </c>
      <c r="CZ5">
        <f>AF5</f>
        <v>399.44</v>
      </c>
      <c r="DA5">
        <f>AJ5</f>
        <v>1</v>
      </c>
      <c r="DB5">
        <f t="shared" si="1"/>
        <v>2288.79</v>
      </c>
      <c r="DC5">
        <f t="shared" si="2"/>
        <v>3092.42</v>
      </c>
      <c r="DD5" t="s">
        <v>3</v>
      </c>
      <c r="DE5" t="s">
        <v>3</v>
      </c>
      <c r="DF5">
        <f>ROUND(ROUND(AE5,2)*CX5,2)</f>
        <v>0</v>
      </c>
      <c r="DG5">
        <f t="shared" si="3"/>
        <v>22.89</v>
      </c>
      <c r="DH5">
        <f t="shared" si="4"/>
        <v>30.92</v>
      </c>
      <c r="DI5">
        <f t="shared" si="5"/>
        <v>0</v>
      </c>
      <c r="DJ5">
        <f>DG5+DH5</f>
        <v>53.81</v>
      </c>
      <c r="DK5">
        <v>1</v>
      </c>
      <c r="DL5" t="s">
        <v>186</v>
      </c>
      <c r="DM5">
        <v>4</v>
      </c>
      <c r="DN5" t="s">
        <v>175</v>
      </c>
      <c r="DO5">
        <v>1</v>
      </c>
    </row>
    <row r="6" spans="1:119" x14ac:dyDescent="0.25">
      <c r="A6">
        <f>ROW(Source!A24)</f>
        <v>24</v>
      </c>
      <c r="B6">
        <v>17308916</v>
      </c>
      <c r="C6">
        <v>17308936</v>
      </c>
      <c r="D6">
        <v>16191256</v>
      </c>
      <c r="E6">
        <v>1</v>
      </c>
      <c r="F6">
        <v>1</v>
      </c>
      <c r="G6">
        <v>1</v>
      </c>
      <c r="H6">
        <v>3</v>
      </c>
      <c r="I6" t="s">
        <v>26</v>
      </c>
      <c r="J6" t="s">
        <v>29</v>
      </c>
      <c r="K6" t="s">
        <v>27</v>
      </c>
      <c r="L6">
        <v>1346</v>
      </c>
      <c r="N6">
        <v>1009</v>
      </c>
      <c r="O6" t="s">
        <v>28</v>
      </c>
      <c r="P6" t="s">
        <v>28</v>
      </c>
      <c r="Q6">
        <v>1</v>
      </c>
      <c r="W6">
        <v>0</v>
      </c>
      <c r="X6">
        <v>-1097743337</v>
      </c>
      <c r="Y6">
        <f t="shared" si="0"/>
        <v>50</v>
      </c>
      <c r="AA6">
        <v>447.13</v>
      </c>
      <c r="AB6">
        <v>0</v>
      </c>
      <c r="AC6">
        <v>0</v>
      </c>
      <c r="AD6">
        <v>0</v>
      </c>
      <c r="AE6">
        <v>259.95999999999998</v>
      </c>
      <c r="AF6">
        <v>0</v>
      </c>
      <c r="AG6">
        <v>0</v>
      </c>
      <c r="AH6">
        <v>0</v>
      </c>
      <c r="AI6">
        <v>1.72</v>
      </c>
      <c r="AJ6">
        <v>1</v>
      </c>
      <c r="AK6">
        <v>1</v>
      </c>
      <c r="AL6">
        <v>1</v>
      </c>
      <c r="AM6">
        <v>0</v>
      </c>
      <c r="AN6">
        <v>1</v>
      </c>
      <c r="AO6">
        <v>0</v>
      </c>
      <c r="AP6">
        <v>1</v>
      </c>
      <c r="AQ6">
        <v>0</v>
      </c>
      <c r="AR6">
        <v>0</v>
      </c>
      <c r="AS6" t="s">
        <v>3</v>
      </c>
      <c r="AT6">
        <v>50</v>
      </c>
      <c r="AU6" t="s">
        <v>3</v>
      </c>
      <c r="AV6">
        <v>0</v>
      </c>
      <c r="AW6">
        <v>1</v>
      </c>
      <c r="AX6">
        <v>-1</v>
      </c>
      <c r="AY6">
        <v>0</v>
      </c>
      <c r="AZ6">
        <v>0</v>
      </c>
      <c r="BA6" t="s">
        <v>3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ROUND(Y6*Source!I24,7)</f>
        <v>0.5</v>
      </c>
      <c r="CY6">
        <f>AA6</f>
        <v>447.13</v>
      </c>
      <c r="CZ6">
        <f>AE6</f>
        <v>259.95999999999998</v>
      </c>
      <c r="DA6">
        <f>AI6</f>
        <v>1.72</v>
      </c>
      <c r="DB6">
        <f t="shared" si="1"/>
        <v>12998</v>
      </c>
      <c r="DC6">
        <f t="shared" si="2"/>
        <v>0</v>
      </c>
      <c r="DD6" t="s">
        <v>3</v>
      </c>
      <c r="DE6" t="s">
        <v>3</v>
      </c>
      <c r="DF6">
        <f>ROUND(ROUND(AE6*AI6,2)*CX6,2)</f>
        <v>223.57</v>
      </c>
      <c r="DG6">
        <f t="shared" si="3"/>
        <v>0</v>
      </c>
      <c r="DH6">
        <f t="shared" si="4"/>
        <v>0</v>
      </c>
      <c r="DI6">
        <f t="shared" si="5"/>
        <v>0</v>
      </c>
      <c r="DJ6">
        <f>DF6</f>
        <v>223.57</v>
      </c>
      <c r="DK6">
        <v>0</v>
      </c>
      <c r="DL6" t="s">
        <v>3</v>
      </c>
      <c r="DM6">
        <v>0</v>
      </c>
      <c r="DN6" t="s">
        <v>3</v>
      </c>
      <c r="DO6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"/>
  <sheetViews>
    <sheetView workbookViewId="0"/>
  </sheetViews>
  <sheetFormatPr defaultColWidth="9.109375" defaultRowHeight="13.2" x14ac:dyDescent="0.25"/>
  <cols>
    <col min="1" max="256" width="9.109375" customWidth="1"/>
  </cols>
  <sheetData>
    <row r="1" spans="1:44" x14ac:dyDescent="0.25">
      <c r="A1">
        <f>ROW(Source!A24)</f>
        <v>24</v>
      </c>
      <c r="B1">
        <v>17308937</v>
      </c>
      <c r="C1">
        <v>17308936</v>
      </c>
      <c r="D1">
        <v>16020067</v>
      </c>
      <c r="E1">
        <v>113</v>
      </c>
      <c r="F1">
        <v>1</v>
      </c>
      <c r="G1">
        <v>1</v>
      </c>
      <c r="H1">
        <v>1</v>
      </c>
      <c r="I1" t="s">
        <v>173</v>
      </c>
      <c r="J1" t="s">
        <v>3</v>
      </c>
      <c r="K1" t="s">
        <v>174</v>
      </c>
      <c r="L1">
        <v>1191</v>
      </c>
      <c r="N1">
        <v>1013</v>
      </c>
      <c r="O1" t="s">
        <v>175</v>
      </c>
      <c r="P1" t="s">
        <v>175</v>
      </c>
      <c r="Q1">
        <v>1</v>
      </c>
      <c r="X1">
        <v>29.36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3</v>
      </c>
      <c r="AG1">
        <v>29.36</v>
      </c>
      <c r="AH1">
        <v>2</v>
      </c>
      <c r="AI1">
        <v>17308937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5">
      <c r="A2">
        <f>ROW(Source!A24)</f>
        <v>24</v>
      </c>
      <c r="B2">
        <v>17308938</v>
      </c>
      <c r="C2">
        <v>17308936</v>
      </c>
      <c r="D2">
        <v>16020303</v>
      </c>
      <c r="E2">
        <v>113</v>
      </c>
      <c r="F2">
        <v>1</v>
      </c>
      <c r="G2">
        <v>1</v>
      </c>
      <c r="H2">
        <v>1</v>
      </c>
      <c r="I2" t="s">
        <v>176</v>
      </c>
      <c r="J2" t="s">
        <v>3</v>
      </c>
      <c r="K2" t="s">
        <v>177</v>
      </c>
      <c r="L2">
        <v>1191</v>
      </c>
      <c r="N2">
        <v>1013</v>
      </c>
      <c r="O2" t="s">
        <v>175</v>
      </c>
      <c r="P2" t="s">
        <v>175</v>
      </c>
      <c r="Q2">
        <v>1</v>
      </c>
      <c r="X2">
        <v>11.82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11.82</v>
      </c>
      <c r="AH2">
        <v>2</v>
      </c>
      <c r="AI2">
        <v>17308938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5">
      <c r="A3">
        <f>ROW(Source!A24)</f>
        <v>24</v>
      </c>
      <c r="B3">
        <v>17308939</v>
      </c>
      <c r="C3">
        <v>17308936</v>
      </c>
      <c r="D3">
        <v>16243941</v>
      </c>
      <c r="E3">
        <v>1</v>
      </c>
      <c r="F3">
        <v>1</v>
      </c>
      <c r="G3">
        <v>1</v>
      </c>
      <c r="H3">
        <v>2</v>
      </c>
      <c r="I3" t="s">
        <v>178</v>
      </c>
      <c r="J3" t="s">
        <v>179</v>
      </c>
      <c r="K3" t="s">
        <v>180</v>
      </c>
      <c r="L3">
        <v>1368</v>
      </c>
      <c r="N3">
        <v>1011</v>
      </c>
      <c r="O3" t="s">
        <v>181</v>
      </c>
      <c r="P3" t="s">
        <v>181</v>
      </c>
      <c r="Q3">
        <v>1</v>
      </c>
      <c r="X3">
        <v>5.73</v>
      </c>
      <c r="Y3">
        <v>0</v>
      </c>
      <c r="Z3">
        <v>2716.21</v>
      </c>
      <c r="AA3">
        <v>825.64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5.73</v>
      </c>
      <c r="AH3">
        <v>2</v>
      </c>
      <c r="AI3">
        <v>17308939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5">
      <c r="A4">
        <f>ROW(Source!A24)</f>
        <v>24</v>
      </c>
      <c r="B4">
        <v>17308940</v>
      </c>
      <c r="C4">
        <v>17308936</v>
      </c>
      <c r="D4">
        <v>16245035</v>
      </c>
      <c r="E4">
        <v>1</v>
      </c>
      <c r="F4">
        <v>1</v>
      </c>
      <c r="G4">
        <v>1</v>
      </c>
      <c r="H4">
        <v>2</v>
      </c>
      <c r="I4" t="s">
        <v>183</v>
      </c>
      <c r="J4" t="s">
        <v>184</v>
      </c>
      <c r="K4" t="s">
        <v>185</v>
      </c>
      <c r="L4">
        <v>1368</v>
      </c>
      <c r="N4">
        <v>1011</v>
      </c>
      <c r="O4" t="s">
        <v>181</v>
      </c>
      <c r="P4" t="s">
        <v>181</v>
      </c>
      <c r="Q4">
        <v>1</v>
      </c>
      <c r="X4">
        <v>0.36</v>
      </c>
      <c r="Y4">
        <v>0</v>
      </c>
      <c r="Z4">
        <v>641.70000000000005</v>
      </c>
      <c r="AA4">
        <v>539.69000000000005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0.36</v>
      </c>
      <c r="AH4">
        <v>2</v>
      </c>
      <c r="AI4">
        <v>17308940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5">
      <c r="A5">
        <f>ROW(Source!A24)</f>
        <v>24</v>
      </c>
      <c r="B5">
        <v>17308941</v>
      </c>
      <c r="C5">
        <v>17308936</v>
      </c>
      <c r="D5">
        <v>16245387</v>
      </c>
      <c r="E5">
        <v>1</v>
      </c>
      <c r="F5">
        <v>1</v>
      </c>
      <c r="G5">
        <v>1</v>
      </c>
      <c r="H5">
        <v>2</v>
      </c>
      <c r="I5" t="s">
        <v>187</v>
      </c>
      <c r="J5" t="s">
        <v>188</v>
      </c>
      <c r="K5" t="s">
        <v>189</v>
      </c>
      <c r="L5">
        <v>1368</v>
      </c>
      <c r="N5">
        <v>1011</v>
      </c>
      <c r="O5" t="s">
        <v>181</v>
      </c>
      <c r="P5" t="s">
        <v>181</v>
      </c>
      <c r="Q5">
        <v>1</v>
      </c>
      <c r="X5">
        <v>5.73</v>
      </c>
      <c r="Y5">
        <v>0</v>
      </c>
      <c r="Z5">
        <v>399.44</v>
      </c>
      <c r="AA5">
        <v>539.69000000000005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5.73</v>
      </c>
      <c r="AH5">
        <v>2</v>
      </c>
      <c r="AI5">
        <v>17308941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5">
      <c r="A6">
        <f>ROW(Source!A24)</f>
        <v>24</v>
      </c>
      <c r="B6">
        <v>17308942</v>
      </c>
      <c r="C6">
        <v>17308936</v>
      </c>
      <c r="D6">
        <v>16024674</v>
      </c>
      <c r="E6">
        <v>113</v>
      </c>
      <c r="F6">
        <v>1</v>
      </c>
      <c r="G6">
        <v>1</v>
      </c>
      <c r="H6">
        <v>3</v>
      </c>
      <c r="I6" t="s">
        <v>190</v>
      </c>
      <c r="J6" t="s">
        <v>3</v>
      </c>
      <c r="K6" t="s">
        <v>191</v>
      </c>
      <c r="L6">
        <v>1346</v>
      </c>
      <c r="N6">
        <v>1009</v>
      </c>
      <c r="O6" t="s">
        <v>28</v>
      </c>
      <c r="P6" t="s">
        <v>28</v>
      </c>
      <c r="Q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 t="s">
        <v>3</v>
      </c>
      <c r="AG6">
        <v>0</v>
      </c>
      <c r="AH6">
        <v>3</v>
      </c>
      <c r="AI6">
        <v>-1</v>
      </c>
      <c r="AJ6" t="s">
        <v>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3.2" x14ac:dyDescent="0.25"/>
  <cols>
    <col min="1" max="256" width="9.10937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09375" defaultRowHeight="13.2" x14ac:dyDescent="0.25"/>
  <cols>
    <col min="1" max="256" width="9.109375" customWidth="1"/>
  </cols>
  <sheetData>
    <row r="1" spans="1:103" x14ac:dyDescent="0.25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0</v>
      </c>
      <c r="L1">
        <v>22013</v>
      </c>
      <c r="M1">
        <v>10</v>
      </c>
      <c r="N1">
        <v>12</v>
      </c>
      <c r="O1">
        <v>1</v>
      </c>
      <c r="P1">
        <v>0</v>
      </c>
      <c r="Q1">
        <v>1</v>
      </c>
    </row>
    <row r="12" spans="1:103" x14ac:dyDescent="0.25">
      <c r="F12" t="str">
        <f>Source!F12</f>
        <v>Новый объект</v>
      </c>
      <c r="G12" t="str">
        <f>Source!G12</f>
        <v>Текущий ремонт межпанельных швов на 1 мп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Имя</cp:lastModifiedBy>
  <dcterms:created xsi:type="dcterms:W3CDTF">2026-07-08T06:59:02Z</dcterms:created>
  <dcterms:modified xsi:type="dcterms:W3CDTF">2026-07-08T07:09:07Z</dcterms:modified>
</cp:coreProperties>
</file>