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501"/>
  <workbookPr/>
  <mc:AlternateContent xmlns:mc="http://schemas.openxmlformats.org/markup-compatibility/2006">
    <mc:Choice Requires="x15">
      <x15ac:absPath xmlns:x15ac="http://schemas.microsoft.com/office/spreadsheetml/2010/11/ac" url="Z:\Строева С.Ю\ТОРГИ по п. ДОБРЫЙ скважины 2026 г\"/>
    </mc:Choice>
  </mc:AlternateContent>
  <xr:revisionPtr revIDLastSave="0" documentId="8_{8DCDBD48-F26A-42D7-8CDB-367ABA8ECC3A}" xr6:coauthVersionLast="47" xr6:coauthVersionMax="47" xr10:uidLastSave="{00000000-0000-0000-0000-000000000000}"/>
  <bookViews>
    <workbookView xWindow="1170" yWindow="750" windowWidth="27345" windowHeight="15450" xr2:uid="{00000000-000D-0000-FFFF-FFFF00000000}"/>
  </bookViews>
  <sheets>
    <sheet name="Смета по ФЕР 421+557пр (12" sheetId="7" r:id="rId1"/>
    <sheet name="Source" sheetId="1" r:id="rId2"/>
    <sheet name="SourceObSm" sheetId="2" r:id="rId3"/>
    <sheet name="SmtRes" sheetId="3" r:id="rId4"/>
    <sheet name="EtalonRes" sheetId="4" r:id="rId5"/>
    <sheet name="SrcPoprs" sheetId="5" r:id="rId6"/>
    <sheet name="SrcKA" sheetId="6" r:id="rId7"/>
  </sheets>
  <definedNames>
    <definedName name="_xlnm.Print_Titles" localSheetId="0">'Смета по ФЕР 421+557пр (12'!$57:$57</definedName>
    <definedName name="_xlnm.Print_Area" localSheetId="0">'Смета по ФЕР 421+557пр (12'!$A$1:$L$208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7" l="1"/>
  <c r="H206" i="7"/>
  <c r="H203" i="7"/>
  <c r="C206" i="7"/>
  <c r="C203" i="7"/>
  <c r="C50" i="7"/>
  <c r="D50" i="7"/>
  <c r="C49" i="7"/>
  <c r="D49" i="7"/>
  <c r="C48" i="7"/>
  <c r="D48" i="7"/>
  <c r="L196" i="7"/>
  <c r="J196" i="7"/>
  <c r="L195" i="7"/>
  <c r="J195" i="7"/>
  <c r="L192" i="7"/>
  <c r="J192" i="7"/>
  <c r="J191" i="7"/>
  <c r="L191" i="7" s="1"/>
  <c r="L189" i="7" s="1"/>
  <c r="L184" i="7"/>
  <c r="J184" i="7"/>
  <c r="L180" i="7"/>
  <c r="J180" i="7"/>
  <c r="L168" i="7"/>
  <c r="J168" i="7"/>
  <c r="L167" i="7"/>
  <c r="J167" i="7"/>
  <c r="L166" i="7"/>
  <c r="J166" i="7"/>
  <c r="L165" i="7"/>
  <c r="J165" i="7"/>
  <c r="L164" i="7"/>
  <c r="J164" i="7"/>
  <c r="K163" i="7"/>
  <c r="B163" i="7"/>
  <c r="J163" i="7"/>
  <c r="L163" i="7" s="1"/>
  <c r="L161" i="7" s="1"/>
  <c r="L160" i="7"/>
  <c r="J160" i="7"/>
  <c r="L159" i="7"/>
  <c r="J159" i="7"/>
  <c r="K157" i="7"/>
  <c r="B157" i="7"/>
  <c r="J157" i="7"/>
  <c r="L157" i="7" s="1"/>
  <c r="L155" i="7" s="1"/>
  <c r="L154" i="7"/>
  <c r="J154" i="7"/>
  <c r="K149" i="7"/>
  <c r="B149" i="7"/>
  <c r="J149" i="7"/>
  <c r="K148" i="7"/>
  <c r="B148" i="7"/>
  <c r="J148" i="7"/>
  <c r="L148" i="7" s="1"/>
  <c r="L144" i="7"/>
  <c r="J144" i="7"/>
  <c r="K143" i="7"/>
  <c r="B143" i="7"/>
  <c r="J143" i="7"/>
  <c r="L143" i="7" s="1"/>
  <c r="L141" i="7" s="1"/>
  <c r="L139" i="7"/>
  <c r="J139" i="7"/>
  <c r="L138" i="7"/>
  <c r="J138" i="7"/>
  <c r="L137" i="7"/>
  <c r="J137" i="7"/>
  <c r="L136" i="7"/>
  <c r="J136" i="7"/>
  <c r="L135" i="7"/>
  <c r="J135" i="7"/>
  <c r="K134" i="7"/>
  <c r="B134" i="7"/>
  <c r="J134" i="7"/>
  <c r="L134" i="7" s="1"/>
  <c r="L131" i="7"/>
  <c r="J131" i="7"/>
  <c r="L130" i="7"/>
  <c r="J130" i="7"/>
  <c r="K128" i="7"/>
  <c r="B128" i="7"/>
  <c r="J128" i="7"/>
  <c r="L128" i="7" s="1"/>
  <c r="L126" i="7" s="1"/>
  <c r="L125" i="7"/>
  <c r="J125" i="7"/>
  <c r="L115" i="7"/>
  <c r="J115" i="7"/>
  <c r="K114" i="7"/>
  <c r="B114" i="7"/>
  <c r="L111" i="7"/>
  <c r="J111" i="7"/>
  <c r="K108" i="7"/>
  <c r="B108" i="7"/>
  <c r="AU97" i="7"/>
  <c r="AS97" i="7"/>
  <c r="AP97" i="7"/>
  <c r="Y97" i="7"/>
  <c r="U97" i="7"/>
  <c r="T97" i="7"/>
  <c r="Q97" i="7"/>
  <c r="BA97" i="7"/>
  <c r="AZ97" i="7"/>
  <c r="K96" i="7"/>
  <c r="H96" i="7"/>
  <c r="E96" i="7"/>
  <c r="G96" i="7"/>
  <c r="D96" i="7"/>
  <c r="C96" i="7"/>
  <c r="B96" i="7"/>
  <c r="AU95" i="7"/>
  <c r="AS95" i="7"/>
  <c r="AP95" i="7"/>
  <c r="Y95" i="7"/>
  <c r="U95" i="7"/>
  <c r="T95" i="7"/>
  <c r="Q95" i="7"/>
  <c r="BA95" i="7"/>
  <c r="AZ95" i="7"/>
  <c r="K94" i="7"/>
  <c r="H94" i="7"/>
  <c r="E94" i="7"/>
  <c r="G94" i="7"/>
  <c r="D94" i="7"/>
  <c r="C94" i="7"/>
  <c r="B94" i="7"/>
  <c r="AW93" i="7"/>
  <c r="AO93" i="7"/>
  <c r="G92" i="7"/>
  <c r="E92" i="7"/>
  <c r="G91" i="7"/>
  <c r="E91" i="7"/>
  <c r="F88" i="7"/>
  <c r="E88" i="7"/>
  <c r="F87" i="7"/>
  <c r="E87" i="7"/>
  <c r="G86" i="7"/>
  <c r="F86" i="7"/>
  <c r="E86" i="7"/>
  <c r="D86" i="7"/>
  <c r="C86" i="7"/>
  <c r="B86" i="7"/>
  <c r="I85" i="7"/>
  <c r="H85" i="7"/>
  <c r="K84" i="7"/>
  <c r="I84" i="7"/>
  <c r="H84" i="7"/>
  <c r="I83" i="7"/>
  <c r="H83" i="7"/>
  <c r="K82" i="7"/>
  <c r="I82" i="7"/>
  <c r="H82" i="7"/>
  <c r="H89" i="7" s="1"/>
  <c r="E80" i="7"/>
  <c r="G80" i="7"/>
  <c r="D80" i="7"/>
  <c r="C80" i="7"/>
  <c r="B80" i="7"/>
  <c r="AW79" i="7"/>
  <c r="AT79" i="7"/>
  <c r="AO79" i="7"/>
  <c r="AA79" i="7"/>
  <c r="X79" i="7"/>
  <c r="P79" i="7"/>
  <c r="G78" i="7"/>
  <c r="E78" i="7"/>
  <c r="G77" i="7"/>
  <c r="E77" i="7"/>
  <c r="F74" i="7"/>
  <c r="E74" i="7"/>
  <c r="K73" i="7"/>
  <c r="I73" i="7"/>
  <c r="H73" i="7"/>
  <c r="H75" i="7" s="1"/>
  <c r="D71" i="7"/>
  <c r="B71" i="7"/>
  <c r="AW70" i="7"/>
  <c r="AO70" i="7"/>
  <c r="G69" i="7"/>
  <c r="E69" i="7"/>
  <c r="G68" i="7"/>
  <c r="E68" i="7"/>
  <c r="E65" i="7"/>
  <c r="E64" i="7"/>
  <c r="H63" i="7"/>
  <c r="K62" i="7"/>
  <c r="H62" i="7"/>
  <c r="H61" i="7"/>
  <c r="K60" i="7"/>
  <c r="H60" i="7"/>
  <c r="D58" i="7"/>
  <c r="C58" i="7"/>
  <c r="B58" i="7"/>
  <c r="F22" i="7"/>
  <c r="F20" i="7"/>
  <c r="F14" i="7"/>
  <c r="CO12" i="7"/>
  <c r="F12" i="7"/>
  <c r="H6" i="7"/>
  <c r="B6" i="7"/>
  <c r="A1" i="7"/>
  <c r="L149" i="7" l="1"/>
  <c r="L132" i="7"/>
  <c r="J132" i="7"/>
  <c r="L152" i="7"/>
  <c r="L150" i="7" s="1"/>
  <c r="J155" i="7"/>
  <c r="H66" i="7"/>
  <c r="J141" i="7"/>
  <c r="J161" i="7"/>
  <c r="L123" i="7"/>
  <c r="L121" i="7" s="1"/>
  <c r="J126" i="7"/>
  <c r="J189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1" i="3"/>
  <c r="Y1" i="3"/>
  <c r="CY1" i="3"/>
  <c r="CZ1" i="3"/>
  <c r="DB1" i="3" s="1"/>
  <c r="DA1" i="3"/>
  <c r="DC1" i="3"/>
  <c r="A2" i="3"/>
  <c r="Y2" i="3"/>
  <c r="CY2" i="3"/>
  <c r="CZ2" i="3"/>
  <c r="DA2" i="3"/>
  <c r="DB2" i="3"/>
  <c r="DC2" i="3"/>
  <c r="A3" i="3"/>
  <c r="Y3" i="3"/>
  <c r="CY3" i="3"/>
  <c r="CZ3" i="3"/>
  <c r="DA3" i="3"/>
  <c r="DB3" i="3"/>
  <c r="DC3" i="3"/>
  <c r="A4" i="3"/>
  <c r="Y4" i="3"/>
  <c r="CY4" i="3"/>
  <c r="CZ4" i="3"/>
  <c r="DB4" i="3" s="1"/>
  <c r="DA4" i="3"/>
  <c r="DC4" i="3"/>
  <c r="A5" i="3"/>
  <c r="Y5" i="3"/>
  <c r="CY5" i="3"/>
  <c r="CZ5" i="3"/>
  <c r="DB5" i="3" s="1"/>
  <c r="DA5" i="3"/>
  <c r="DC5" i="3"/>
  <c r="A6" i="3"/>
  <c r="Y6" i="3"/>
  <c r="CY6" i="3"/>
  <c r="CZ6" i="3"/>
  <c r="DA6" i="3"/>
  <c r="DB6" i="3"/>
  <c r="DC6" i="3"/>
  <c r="A7" i="3"/>
  <c r="Y7" i="3"/>
  <c r="CY7" i="3"/>
  <c r="CZ7" i="3"/>
  <c r="DA7" i="3"/>
  <c r="DB7" i="3"/>
  <c r="DC7" i="3"/>
  <c r="A8" i="3"/>
  <c r="Y8" i="3"/>
  <c r="CX8" i="3" s="1"/>
  <c r="CU8" i="3"/>
  <c r="CV8" i="3"/>
  <c r="CY8" i="3"/>
  <c r="CZ8" i="3"/>
  <c r="DB8" i="3" s="1"/>
  <c r="DA8" i="3"/>
  <c r="DC8" i="3"/>
  <c r="A9" i="3"/>
  <c r="Y9" i="3"/>
  <c r="CX9" i="3" s="1"/>
  <c r="CY9" i="3"/>
  <c r="CZ9" i="3"/>
  <c r="DB9" i="3" s="1"/>
  <c r="DA9" i="3"/>
  <c r="DC9" i="3"/>
  <c r="A10" i="3"/>
  <c r="Y10" i="3"/>
  <c r="CY10" i="3"/>
  <c r="CZ10" i="3"/>
  <c r="DA10" i="3"/>
  <c r="DB10" i="3"/>
  <c r="DC10" i="3"/>
  <c r="A11" i="3"/>
  <c r="Y11" i="3"/>
  <c r="CW11" i="3" s="1"/>
  <c r="CX11" i="3"/>
  <c r="CY11" i="3"/>
  <c r="CZ11" i="3"/>
  <c r="DB11" i="3" s="1"/>
  <c r="DA11" i="3"/>
  <c r="DC11" i="3"/>
  <c r="A12" i="3"/>
  <c r="Y12" i="3"/>
  <c r="CX12" i="3" s="1"/>
  <c r="CW12" i="3"/>
  <c r="CY12" i="3"/>
  <c r="CZ12" i="3"/>
  <c r="DB12" i="3" s="1"/>
  <c r="DA12" i="3"/>
  <c r="DC12" i="3"/>
  <c r="A13" i="3"/>
  <c r="Y13" i="3"/>
  <c r="CW13" i="3" s="1"/>
  <c r="CY13" i="3"/>
  <c r="CZ13" i="3"/>
  <c r="DB13" i="3" s="1"/>
  <c r="DA13" i="3"/>
  <c r="DC13" i="3"/>
  <c r="A14" i="3"/>
  <c r="Y14" i="3"/>
  <c r="CW14" i="3"/>
  <c r="CX14" i="3"/>
  <c r="DF14" i="3" s="1"/>
  <c r="CY14" i="3"/>
  <c r="CZ14" i="3"/>
  <c r="DA14" i="3"/>
  <c r="DB14" i="3"/>
  <c r="DC14" i="3"/>
  <c r="DH14" i="3"/>
  <c r="A15" i="3"/>
  <c r="Y15" i="3"/>
  <c r="CW15" i="3"/>
  <c r="CX15" i="3"/>
  <c r="DI15" i="3" s="1"/>
  <c r="CY15" i="3"/>
  <c r="CZ15" i="3"/>
  <c r="DA15" i="3"/>
  <c r="DB15" i="3"/>
  <c r="DC15" i="3"/>
  <c r="A16" i="3"/>
  <c r="Y16" i="3"/>
  <c r="CX16" i="3" s="1"/>
  <c r="CW16" i="3"/>
  <c r="CY16" i="3"/>
  <c r="CZ16" i="3"/>
  <c r="DB16" i="3" s="1"/>
  <c r="DA16" i="3"/>
  <c r="DC16" i="3"/>
  <c r="A17" i="3"/>
  <c r="Y17" i="3"/>
  <c r="CW17" i="3" s="1"/>
  <c r="CY17" i="3"/>
  <c r="CZ17" i="3"/>
  <c r="DB17" i="3" s="1"/>
  <c r="DA17" i="3"/>
  <c r="DC17" i="3"/>
  <c r="A18" i="3"/>
  <c r="Y18" i="3"/>
  <c r="CX18" i="3"/>
  <c r="DG18" i="3" s="1"/>
  <c r="CY18" i="3"/>
  <c r="CZ18" i="3"/>
  <c r="DB18" i="3" s="1"/>
  <c r="DA18" i="3"/>
  <c r="DC18" i="3"/>
  <c r="A19" i="3"/>
  <c r="Y19" i="3"/>
  <c r="CX19" i="3" s="1"/>
  <c r="CY19" i="3"/>
  <c r="CZ19" i="3"/>
  <c r="DA19" i="3"/>
  <c r="DB19" i="3"/>
  <c r="DC19" i="3"/>
  <c r="A20" i="3"/>
  <c r="Y20" i="3"/>
  <c r="CX20" i="3"/>
  <c r="DG20" i="3" s="1"/>
  <c r="CY20" i="3"/>
  <c r="CZ20" i="3"/>
  <c r="DA20" i="3"/>
  <c r="DB20" i="3"/>
  <c r="DC20" i="3"/>
  <c r="A21" i="3"/>
  <c r="Y21" i="3"/>
  <c r="CX21" i="3" s="1"/>
  <c r="CY21" i="3"/>
  <c r="CZ21" i="3"/>
  <c r="DB21" i="3" s="1"/>
  <c r="DA21" i="3"/>
  <c r="DC21" i="3"/>
  <c r="A22" i="3"/>
  <c r="Y22" i="3"/>
  <c r="CX22" i="3"/>
  <c r="DG22" i="3" s="1"/>
  <c r="CY22" i="3"/>
  <c r="CZ22" i="3"/>
  <c r="DB22" i="3" s="1"/>
  <c r="DA22" i="3"/>
  <c r="DC22" i="3"/>
  <c r="A23" i="3"/>
  <c r="Y23" i="3"/>
  <c r="CX23" i="3" s="1"/>
  <c r="CY23" i="3"/>
  <c r="CZ23" i="3"/>
  <c r="DA23" i="3"/>
  <c r="DB23" i="3"/>
  <c r="DC23" i="3"/>
  <c r="A24" i="3"/>
  <c r="Y24" i="3"/>
  <c r="CX24" i="3"/>
  <c r="DG24" i="3" s="1"/>
  <c r="CY24" i="3"/>
  <c r="CZ24" i="3"/>
  <c r="DA24" i="3"/>
  <c r="DB24" i="3"/>
  <c r="DC24" i="3"/>
  <c r="A25" i="3"/>
  <c r="Y25" i="3"/>
  <c r="CX25" i="3" s="1"/>
  <c r="CY25" i="3"/>
  <c r="CZ25" i="3"/>
  <c r="DB25" i="3" s="1"/>
  <c r="DA25" i="3"/>
  <c r="DC25" i="3"/>
  <c r="A26" i="3"/>
  <c r="Y26" i="3"/>
  <c r="CX26" i="3"/>
  <c r="DG26" i="3" s="1"/>
  <c r="CY26" i="3"/>
  <c r="CZ26" i="3"/>
  <c r="DB26" i="3" s="1"/>
  <c r="DA26" i="3"/>
  <c r="DC26" i="3"/>
  <c r="A27" i="3"/>
  <c r="Y27" i="3"/>
  <c r="CX27" i="3" s="1"/>
  <c r="CY27" i="3"/>
  <c r="CZ27" i="3"/>
  <c r="DA27" i="3"/>
  <c r="DB27" i="3"/>
  <c r="DC27" i="3"/>
  <c r="A28" i="3"/>
  <c r="Y28" i="3"/>
  <c r="CX28" i="3"/>
  <c r="DG28" i="3" s="1"/>
  <c r="CY28" i="3"/>
  <c r="CZ28" i="3"/>
  <c r="DA28" i="3"/>
  <c r="DB28" i="3"/>
  <c r="DC28" i="3"/>
  <c r="A29" i="3"/>
  <c r="Y29" i="3"/>
  <c r="CX29" i="3" s="1"/>
  <c r="CY29" i="3"/>
  <c r="CZ29" i="3"/>
  <c r="DB29" i="3" s="1"/>
  <c r="DA29" i="3"/>
  <c r="DC29" i="3"/>
  <c r="A30" i="3"/>
  <c r="Y30" i="3"/>
  <c r="CX30" i="3"/>
  <c r="DG30" i="3" s="1"/>
  <c r="CY30" i="3"/>
  <c r="CZ30" i="3"/>
  <c r="DB30" i="3" s="1"/>
  <c r="DA30" i="3"/>
  <c r="DC30" i="3"/>
  <c r="A31" i="3"/>
  <c r="Y31" i="3"/>
  <c r="CX31" i="3" s="1"/>
  <c r="CY31" i="3"/>
  <c r="CZ31" i="3"/>
  <c r="DA31" i="3"/>
  <c r="DB31" i="3"/>
  <c r="DC31" i="3"/>
  <c r="A32" i="3"/>
  <c r="Y32" i="3"/>
  <c r="CV32" i="3" s="1"/>
  <c r="CU32" i="3"/>
  <c r="CY32" i="3"/>
  <c r="CZ32" i="3"/>
  <c r="DB32" i="3" s="1"/>
  <c r="DA32" i="3"/>
  <c r="DC32" i="3"/>
  <c r="A33" i="3"/>
  <c r="Y33" i="3"/>
  <c r="CX33" i="3" s="1"/>
  <c r="DG33" i="3" s="1"/>
  <c r="CY33" i="3"/>
  <c r="CZ33" i="3"/>
  <c r="DA33" i="3"/>
  <c r="DB33" i="3"/>
  <c r="DC33" i="3"/>
  <c r="A34" i="3"/>
  <c r="Y34" i="3"/>
  <c r="CW34" i="3" s="1"/>
  <c r="CX34" i="3"/>
  <c r="DG34" i="3" s="1"/>
  <c r="DJ34" i="3" s="1"/>
  <c r="CY34" i="3"/>
  <c r="CZ34" i="3"/>
  <c r="DA34" i="3"/>
  <c r="DB34" i="3"/>
  <c r="DC34" i="3"/>
  <c r="A35" i="3"/>
  <c r="Y35" i="3"/>
  <c r="CW35" i="3" s="1"/>
  <c r="CX35" i="3"/>
  <c r="DG35" i="3" s="1"/>
  <c r="DJ35" i="3" s="1"/>
  <c r="CY35" i="3"/>
  <c r="CZ35" i="3"/>
  <c r="DB35" i="3" s="1"/>
  <c r="DA35" i="3"/>
  <c r="DC35" i="3"/>
  <c r="DF35" i="3"/>
  <c r="A36" i="3"/>
  <c r="Y36" i="3"/>
  <c r="CW36" i="3" s="1"/>
  <c r="CX36" i="3"/>
  <c r="DG36" i="3" s="1"/>
  <c r="DJ36" i="3" s="1"/>
  <c r="CY36" i="3"/>
  <c r="CZ36" i="3"/>
  <c r="DA36" i="3"/>
  <c r="DB36" i="3"/>
  <c r="DC36" i="3"/>
  <c r="A37" i="3"/>
  <c r="Y37" i="3"/>
  <c r="CW37" i="3" s="1"/>
  <c r="CX37" i="3"/>
  <c r="DG37" i="3" s="1"/>
  <c r="DJ37" i="3" s="1"/>
  <c r="CY37" i="3"/>
  <c r="CZ37" i="3"/>
  <c r="DB37" i="3" s="1"/>
  <c r="DA37" i="3"/>
  <c r="DC37" i="3"/>
  <c r="DF37" i="3"/>
  <c r="A38" i="3"/>
  <c r="Y38" i="3"/>
  <c r="CX38" i="3" s="1"/>
  <c r="CY38" i="3"/>
  <c r="CZ38" i="3"/>
  <c r="DA38" i="3"/>
  <c r="DB38" i="3"/>
  <c r="DC38" i="3"/>
  <c r="A39" i="3"/>
  <c r="Y39" i="3"/>
  <c r="CX39" i="3"/>
  <c r="DG39" i="3" s="1"/>
  <c r="CY39" i="3"/>
  <c r="CZ39" i="3"/>
  <c r="DA39" i="3"/>
  <c r="DB39" i="3"/>
  <c r="DC39" i="3"/>
  <c r="A40" i="3"/>
  <c r="Y40" i="3"/>
  <c r="CX40" i="3" s="1"/>
  <c r="CY40" i="3"/>
  <c r="CZ40" i="3"/>
  <c r="DB40" i="3" s="1"/>
  <c r="DA40" i="3"/>
  <c r="DC40" i="3"/>
  <c r="A41" i="3"/>
  <c r="Y41" i="3"/>
  <c r="CX41" i="3" s="1"/>
  <c r="CY41" i="3"/>
  <c r="CZ41" i="3"/>
  <c r="DB41" i="3" s="1"/>
  <c r="DA41" i="3"/>
  <c r="DC41" i="3"/>
  <c r="A42" i="3"/>
  <c r="Y42" i="3"/>
  <c r="CX42" i="3" s="1"/>
  <c r="CY42" i="3"/>
  <c r="CZ42" i="3"/>
  <c r="DA42" i="3"/>
  <c r="DB42" i="3"/>
  <c r="DC42" i="3"/>
  <c r="A43" i="3"/>
  <c r="Y43" i="3"/>
  <c r="CX43" i="3"/>
  <c r="DG43" i="3" s="1"/>
  <c r="CY43" i="3"/>
  <c r="CZ43" i="3"/>
  <c r="DA43" i="3"/>
  <c r="DB43" i="3"/>
  <c r="DC43" i="3"/>
  <c r="A44" i="3"/>
  <c r="Y44" i="3"/>
  <c r="CX44" i="3" s="1"/>
  <c r="CU44" i="3"/>
  <c r="CV44" i="3"/>
  <c r="CY44" i="3"/>
  <c r="CZ44" i="3"/>
  <c r="DA44" i="3"/>
  <c r="DB44" i="3"/>
  <c r="DC44" i="3"/>
  <c r="A45" i="3"/>
  <c r="Y45" i="3"/>
  <c r="CX45" i="3"/>
  <c r="DG45" i="3" s="1"/>
  <c r="CY45" i="3"/>
  <c r="CZ45" i="3"/>
  <c r="DA45" i="3"/>
  <c r="DB45" i="3"/>
  <c r="DC45" i="3"/>
  <c r="A46" i="3"/>
  <c r="Y46" i="3"/>
  <c r="CW46" i="3" s="1"/>
  <c r="CY46" i="3"/>
  <c r="CZ46" i="3"/>
  <c r="DB46" i="3" s="1"/>
  <c r="DA46" i="3"/>
  <c r="DC46" i="3"/>
  <c r="A47" i="3"/>
  <c r="Y47" i="3"/>
  <c r="CW47" i="3" s="1"/>
  <c r="CX47" i="3"/>
  <c r="DG47" i="3" s="1"/>
  <c r="DJ47" i="3" s="1"/>
  <c r="CY47" i="3"/>
  <c r="CZ47" i="3"/>
  <c r="DA47" i="3"/>
  <c r="DB47" i="3"/>
  <c r="DC47" i="3"/>
  <c r="A48" i="3"/>
  <c r="Y48" i="3"/>
  <c r="CW48" i="3" s="1"/>
  <c r="CY48" i="3"/>
  <c r="CZ48" i="3"/>
  <c r="DB48" i="3" s="1"/>
  <c r="DA48" i="3"/>
  <c r="DC48" i="3"/>
  <c r="A49" i="3"/>
  <c r="Y49" i="3"/>
  <c r="CW49" i="3" s="1"/>
  <c r="CX49" i="3"/>
  <c r="DG49" i="3" s="1"/>
  <c r="DJ49" i="3" s="1"/>
  <c r="CY49" i="3"/>
  <c r="CZ49" i="3"/>
  <c r="DA49" i="3"/>
  <c r="DB49" i="3"/>
  <c r="DC49" i="3"/>
  <c r="A50" i="3"/>
  <c r="Y50" i="3"/>
  <c r="CW50" i="3" s="1"/>
  <c r="CY50" i="3"/>
  <c r="CZ50" i="3"/>
  <c r="DB50" i="3" s="1"/>
  <c r="DA50" i="3"/>
  <c r="DC50" i="3"/>
  <c r="A51" i="3"/>
  <c r="Y51" i="3"/>
  <c r="CW51" i="3" s="1"/>
  <c r="CX51" i="3"/>
  <c r="DG51" i="3" s="1"/>
  <c r="DJ51" i="3" s="1"/>
  <c r="CY51" i="3"/>
  <c r="CZ51" i="3"/>
  <c r="DA51" i="3"/>
  <c r="DB51" i="3"/>
  <c r="DC51" i="3"/>
  <c r="A52" i="3"/>
  <c r="Y52" i="3"/>
  <c r="CW52" i="3" s="1"/>
  <c r="CY52" i="3"/>
  <c r="CZ52" i="3"/>
  <c r="DB52" i="3" s="1"/>
  <c r="DA52" i="3"/>
  <c r="DC52" i="3"/>
  <c r="A53" i="3"/>
  <c r="Y53" i="3"/>
  <c r="CW53" i="3" s="1"/>
  <c r="CX53" i="3"/>
  <c r="DG53" i="3" s="1"/>
  <c r="DJ53" i="3" s="1"/>
  <c r="CY53" i="3"/>
  <c r="CZ53" i="3"/>
  <c r="DA53" i="3"/>
  <c r="DB53" i="3"/>
  <c r="DC53" i="3"/>
  <c r="A54" i="3"/>
  <c r="Y54" i="3"/>
  <c r="CW54" i="3" s="1"/>
  <c r="CY54" i="3"/>
  <c r="CZ54" i="3"/>
  <c r="DB54" i="3" s="1"/>
  <c r="DA54" i="3"/>
  <c r="DC54" i="3"/>
  <c r="A55" i="3"/>
  <c r="Y55" i="3"/>
  <c r="CX55" i="3" s="1"/>
  <c r="CY55" i="3"/>
  <c r="CZ55" i="3"/>
  <c r="DB55" i="3" s="1"/>
  <c r="DA55" i="3"/>
  <c r="DC55" i="3"/>
  <c r="A56" i="3"/>
  <c r="Y56" i="3"/>
  <c r="CX56" i="3"/>
  <c r="DG56" i="3" s="1"/>
  <c r="CY56" i="3"/>
  <c r="CZ56" i="3"/>
  <c r="DB56" i="3" s="1"/>
  <c r="DA56" i="3"/>
  <c r="DC56" i="3"/>
  <c r="DF56" i="3"/>
  <c r="DJ56" i="3" s="1"/>
  <c r="A57" i="3"/>
  <c r="Y57" i="3"/>
  <c r="CX57" i="3" s="1"/>
  <c r="CY57" i="3"/>
  <c r="CZ57" i="3"/>
  <c r="DA57" i="3"/>
  <c r="DB57" i="3"/>
  <c r="DC57" i="3"/>
  <c r="A58" i="3"/>
  <c r="Y58" i="3"/>
  <c r="CX58" i="3"/>
  <c r="DG58" i="3" s="1"/>
  <c r="CY58" i="3"/>
  <c r="CZ58" i="3"/>
  <c r="DA58" i="3"/>
  <c r="DB58" i="3"/>
  <c r="DC58" i="3"/>
  <c r="A59" i="3"/>
  <c r="Y59" i="3"/>
  <c r="CX59" i="3" s="1"/>
  <c r="CY59" i="3"/>
  <c r="CZ59" i="3"/>
  <c r="DB59" i="3" s="1"/>
  <c r="DA59" i="3"/>
  <c r="DC59" i="3"/>
  <c r="A60" i="3"/>
  <c r="Y60" i="3"/>
  <c r="CX60" i="3"/>
  <c r="DG60" i="3" s="1"/>
  <c r="CY60" i="3"/>
  <c r="CZ60" i="3"/>
  <c r="DB60" i="3" s="1"/>
  <c r="DA60" i="3"/>
  <c r="DC60" i="3"/>
  <c r="DF60" i="3"/>
  <c r="DJ60" i="3" s="1"/>
  <c r="A61" i="3"/>
  <c r="Y61" i="3"/>
  <c r="CX61" i="3" s="1"/>
  <c r="CY61" i="3"/>
  <c r="CZ61" i="3"/>
  <c r="DA61" i="3"/>
  <c r="DB61" i="3"/>
  <c r="DC61" i="3"/>
  <c r="A62" i="3"/>
  <c r="Y62" i="3"/>
  <c r="CX62" i="3"/>
  <c r="DG62" i="3" s="1"/>
  <c r="CY62" i="3"/>
  <c r="CZ62" i="3"/>
  <c r="DA62" i="3"/>
  <c r="DB62" i="3"/>
  <c r="DC62" i="3"/>
  <c r="A63" i="3"/>
  <c r="Y63" i="3"/>
  <c r="CX63" i="3" s="1"/>
  <c r="CY63" i="3"/>
  <c r="CZ63" i="3"/>
  <c r="DB63" i="3" s="1"/>
  <c r="DA63" i="3"/>
  <c r="DC63" i="3"/>
  <c r="A64" i="3"/>
  <c r="Y64" i="3"/>
  <c r="CX64" i="3"/>
  <c r="DG64" i="3" s="1"/>
  <c r="CY64" i="3"/>
  <c r="CZ64" i="3"/>
  <c r="DB64" i="3" s="1"/>
  <c r="DA64" i="3"/>
  <c r="DC64" i="3"/>
  <c r="DF64" i="3"/>
  <c r="DJ64" i="3" s="1"/>
  <c r="A65" i="3"/>
  <c r="Y65" i="3"/>
  <c r="CX65" i="3" s="1"/>
  <c r="CY65" i="3"/>
  <c r="CZ65" i="3"/>
  <c r="DA65" i="3"/>
  <c r="DB65" i="3"/>
  <c r="DC65" i="3"/>
  <c r="A66" i="3"/>
  <c r="Y66" i="3"/>
  <c r="CX66" i="3"/>
  <c r="DG66" i="3" s="1"/>
  <c r="CY66" i="3"/>
  <c r="CZ66" i="3"/>
  <c r="DA66" i="3"/>
  <c r="DB66" i="3"/>
  <c r="DC66" i="3"/>
  <c r="A67" i="3"/>
  <c r="Y67" i="3"/>
  <c r="CX67" i="3" s="1"/>
  <c r="CY67" i="3"/>
  <c r="CZ67" i="3"/>
  <c r="DB67" i="3" s="1"/>
  <c r="DA67" i="3"/>
  <c r="DC67" i="3"/>
  <c r="A68" i="3"/>
  <c r="Y68" i="3"/>
  <c r="CX68" i="3"/>
  <c r="CY68" i="3"/>
  <c r="CZ68" i="3"/>
  <c r="DB68" i="3" s="1"/>
  <c r="DA68" i="3"/>
  <c r="DC68" i="3"/>
  <c r="A69" i="3"/>
  <c r="Y69" i="3"/>
  <c r="CX69" i="3" s="1"/>
  <c r="CY69" i="3"/>
  <c r="CZ69" i="3"/>
  <c r="DA69" i="3"/>
  <c r="DB69" i="3"/>
  <c r="DC69" i="3"/>
  <c r="A70" i="3"/>
  <c r="Y70" i="3"/>
  <c r="CX70" i="3"/>
  <c r="DG70" i="3" s="1"/>
  <c r="CY70" i="3"/>
  <c r="CZ70" i="3"/>
  <c r="DA70" i="3"/>
  <c r="DB70" i="3"/>
  <c r="DC70" i="3"/>
  <c r="A71" i="3"/>
  <c r="Y71" i="3"/>
  <c r="CX71" i="3" s="1"/>
  <c r="CY71" i="3"/>
  <c r="CZ71" i="3"/>
  <c r="DB71" i="3" s="1"/>
  <c r="DA71" i="3"/>
  <c r="DC71" i="3"/>
  <c r="A72" i="3"/>
  <c r="Y72" i="3"/>
  <c r="CX72" i="3"/>
  <c r="DG72" i="3" s="1"/>
  <c r="CY72" i="3"/>
  <c r="CZ72" i="3"/>
  <c r="DB72" i="3" s="1"/>
  <c r="DA72" i="3"/>
  <c r="DC72" i="3"/>
  <c r="DF72" i="3"/>
  <c r="DJ72" i="3" s="1"/>
  <c r="A73" i="3"/>
  <c r="Y73" i="3"/>
  <c r="CX73" i="3" s="1"/>
  <c r="CY73" i="3"/>
  <c r="CZ73" i="3"/>
  <c r="DA73" i="3"/>
  <c r="DB73" i="3"/>
  <c r="DC73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C24" i="1"/>
  <c r="D24" i="1"/>
  <c r="E58" i="7"/>
  <c r="AC24" i="1"/>
  <c r="AE24" i="1"/>
  <c r="AF24" i="1"/>
  <c r="AG24" i="1"/>
  <c r="AH24" i="1"/>
  <c r="CV24" i="1" s="1"/>
  <c r="AI24" i="1"/>
  <c r="CW24" i="1" s="1"/>
  <c r="V24" i="1" s="1"/>
  <c r="G65" i="7" s="1"/>
  <c r="AJ24" i="1"/>
  <c r="CX24" i="1" s="1"/>
  <c r="W24" i="1" s="1"/>
  <c r="CQ24" i="1"/>
  <c r="CS24" i="1"/>
  <c r="R24" i="1" s="1"/>
  <c r="HI24" i="1" s="1"/>
  <c r="L62" i="7" s="1"/>
  <c r="AT70" i="7" s="1"/>
  <c r="CU24" i="1"/>
  <c r="T24" i="1" s="1"/>
  <c r="GL24" i="1"/>
  <c r="GO24" i="1"/>
  <c r="GP24" i="1"/>
  <c r="GV24" i="1"/>
  <c r="HC24" i="1"/>
  <c r="GX24" i="1" s="1"/>
  <c r="C25" i="1"/>
  <c r="D25" i="1"/>
  <c r="E71" i="7"/>
  <c r="AC25" i="1"/>
  <c r="AE25" i="1"/>
  <c r="AD25" i="1" s="1"/>
  <c r="AF25" i="1"/>
  <c r="J73" i="7" s="1"/>
  <c r="J75" i="7" s="1"/>
  <c r="AG25" i="1"/>
  <c r="CU25" i="1" s="1"/>
  <c r="T25" i="1" s="1"/>
  <c r="AH25" i="1"/>
  <c r="CV25" i="1" s="1"/>
  <c r="U25" i="1" s="1"/>
  <c r="G74" i="7" s="1"/>
  <c r="AI25" i="1"/>
  <c r="CW25" i="1" s="1"/>
  <c r="AJ25" i="1"/>
  <c r="CR25" i="1"/>
  <c r="Q25" i="1" s="1"/>
  <c r="CT25" i="1"/>
  <c r="S25" i="1" s="1"/>
  <c r="CX25" i="1"/>
  <c r="W25" i="1" s="1"/>
  <c r="GL25" i="1"/>
  <c r="GO25" i="1"/>
  <c r="GP25" i="1"/>
  <c r="GV25" i="1"/>
  <c r="HC25" i="1"/>
  <c r="GX25" i="1" s="1"/>
  <c r="C26" i="1"/>
  <c r="D26" i="1"/>
  <c r="AC26" i="1"/>
  <c r="J85" i="7" s="1"/>
  <c r="AA93" i="7" s="1"/>
  <c r="AE26" i="1"/>
  <c r="AD26" i="1" s="1"/>
  <c r="AB26" i="1" s="1"/>
  <c r="AF26" i="1"/>
  <c r="AG26" i="1"/>
  <c r="CU26" i="1" s="1"/>
  <c r="T26" i="1" s="1"/>
  <c r="AH26" i="1"/>
  <c r="CV26" i="1" s="1"/>
  <c r="U26" i="1" s="1"/>
  <c r="G87" i="7" s="1"/>
  <c r="AI26" i="1"/>
  <c r="CW26" i="1" s="1"/>
  <c r="V26" i="1" s="1"/>
  <c r="G88" i="7" s="1"/>
  <c r="AJ26" i="1"/>
  <c r="CX26" i="1" s="1"/>
  <c r="W26" i="1" s="1"/>
  <c r="CQ26" i="1"/>
  <c r="P26" i="1" s="1"/>
  <c r="CR26" i="1"/>
  <c r="Q26" i="1" s="1"/>
  <c r="CS26" i="1"/>
  <c r="R26" i="1" s="1"/>
  <c r="HI26" i="1" s="1"/>
  <c r="L84" i="7" s="1"/>
  <c r="AT93" i="7" s="1"/>
  <c r="GL26" i="1"/>
  <c r="GO26" i="1"/>
  <c r="GP26" i="1"/>
  <c r="GV26" i="1"/>
  <c r="HC26" i="1"/>
  <c r="GX26" i="1" s="1"/>
  <c r="I27" i="1"/>
  <c r="AC27" i="1"/>
  <c r="AE27" i="1"/>
  <c r="AD27" i="1" s="1"/>
  <c r="AB27" i="1" s="1"/>
  <c r="AF27" i="1"/>
  <c r="CT27" i="1" s="1"/>
  <c r="AG27" i="1"/>
  <c r="CU27" i="1" s="1"/>
  <c r="AH27" i="1"/>
  <c r="CV27" i="1" s="1"/>
  <c r="U27" i="1" s="1"/>
  <c r="AI27" i="1"/>
  <c r="CW27" i="1" s="1"/>
  <c r="AJ27" i="1"/>
  <c r="CX27" i="1" s="1"/>
  <c r="W27" i="1" s="1"/>
  <c r="CQ27" i="1"/>
  <c r="CR27" i="1"/>
  <c r="Q27" i="1" s="1"/>
  <c r="CS27" i="1"/>
  <c r="GL27" i="1"/>
  <c r="GO27" i="1"/>
  <c r="GP27" i="1"/>
  <c r="GV27" i="1"/>
  <c r="HC27" i="1"/>
  <c r="GX27" i="1" s="1"/>
  <c r="O28" i="1"/>
  <c r="P28" i="1"/>
  <c r="Q28" i="1"/>
  <c r="R28" i="1"/>
  <c r="HI28" i="1" s="1"/>
  <c r="S28" i="1"/>
  <c r="T28" i="1"/>
  <c r="U28" i="1"/>
  <c r="V28" i="1"/>
  <c r="W28" i="1"/>
  <c r="X28" i="1"/>
  <c r="AD95" i="7" s="1"/>
  <c r="Y28" i="1"/>
  <c r="AE95" i="7" s="1"/>
  <c r="AB28" i="1"/>
  <c r="J94" i="7" s="1"/>
  <c r="AC28" i="1"/>
  <c r="AD28" i="1"/>
  <c r="AE28" i="1"/>
  <c r="AF28" i="1"/>
  <c r="AG28" i="1"/>
  <c r="AH28" i="1"/>
  <c r="AI28" i="1"/>
  <c r="AJ28" i="1"/>
  <c r="GL28" i="1"/>
  <c r="GO28" i="1"/>
  <c r="GP28" i="1"/>
  <c r="GV28" i="1"/>
  <c r="GX28" i="1"/>
  <c r="HJ28" i="1"/>
  <c r="O29" i="1"/>
  <c r="P29" i="1"/>
  <c r="Q29" i="1"/>
  <c r="R29" i="1"/>
  <c r="S29" i="1"/>
  <c r="HJ29" i="1" s="1"/>
  <c r="T29" i="1"/>
  <c r="U29" i="1"/>
  <c r="V29" i="1"/>
  <c r="W29" i="1"/>
  <c r="X29" i="1"/>
  <c r="AD97" i="7" s="1"/>
  <c r="Y29" i="1"/>
  <c r="AE97" i="7" s="1"/>
  <c r="AB29" i="1"/>
  <c r="J96" i="7" s="1"/>
  <c r="AC29" i="1"/>
  <c r="AD29" i="1"/>
  <c r="AE29" i="1"/>
  <c r="AF29" i="1"/>
  <c r="AG29" i="1"/>
  <c r="AH29" i="1"/>
  <c r="AI29" i="1"/>
  <c r="AJ29" i="1"/>
  <c r="CP29" i="1"/>
  <c r="GM29" i="1" s="1"/>
  <c r="GL29" i="1"/>
  <c r="GO29" i="1"/>
  <c r="GP29" i="1"/>
  <c r="GV29" i="1"/>
  <c r="GX29" i="1"/>
  <c r="HI29" i="1"/>
  <c r="C30" i="1"/>
  <c r="D30" i="1"/>
  <c r="AC30" i="1"/>
  <c r="AE30" i="1"/>
  <c r="AD30" i="1" s="1"/>
  <c r="AF30" i="1"/>
  <c r="AG30" i="1"/>
  <c r="CU30" i="1" s="1"/>
  <c r="T30" i="1" s="1"/>
  <c r="AH30" i="1"/>
  <c r="CV30" i="1" s="1"/>
  <c r="U30" i="1" s="1"/>
  <c r="AI30" i="1"/>
  <c r="CW30" i="1" s="1"/>
  <c r="V30" i="1" s="1"/>
  <c r="AJ30" i="1"/>
  <c r="CR30" i="1"/>
  <c r="Q30" i="1" s="1"/>
  <c r="CT30" i="1"/>
  <c r="S30" i="1" s="1"/>
  <c r="CX30" i="1"/>
  <c r="W30" i="1" s="1"/>
  <c r="GL30" i="1"/>
  <c r="GN30" i="1"/>
  <c r="GP30" i="1"/>
  <c r="GV30" i="1"/>
  <c r="HC30" i="1"/>
  <c r="GX30" i="1" s="1"/>
  <c r="I31" i="1"/>
  <c r="AC31" i="1"/>
  <c r="AE31" i="1"/>
  <c r="AD31" i="1" s="1"/>
  <c r="AF31" i="1"/>
  <c r="CT31" i="1" s="1"/>
  <c r="S31" i="1" s="1"/>
  <c r="AG31" i="1"/>
  <c r="CU31" i="1" s="1"/>
  <c r="T31" i="1" s="1"/>
  <c r="AH31" i="1"/>
  <c r="CV31" i="1" s="1"/>
  <c r="U31" i="1" s="1"/>
  <c r="AI31" i="1"/>
  <c r="CW31" i="1" s="1"/>
  <c r="AJ31" i="1"/>
  <c r="CR31" i="1"/>
  <c r="Q31" i="1" s="1"/>
  <c r="CX31" i="1"/>
  <c r="GL31" i="1"/>
  <c r="GN31" i="1"/>
  <c r="GP31" i="1"/>
  <c r="GV31" i="1"/>
  <c r="HC31" i="1" s="1"/>
  <c r="GX31" i="1" s="1"/>
  <c r="C32" i="1"/>
  <c r="D32" i="1"/>
  <c r="AC32" i="1"/>
  <c r="AE32" i="1"/>
  <c r="AD32" i="1" s="1"/>
  <c r="AB32" i="1" s="1"/>
  <c r="AF32" i="1"/>
  <c r="CT32" i="1" s="1"/>
  <c r="S32" i="1" s="1"/>
  <c r="HJ32" i="1" s="1"/>
  <c r="AG32" i="1"/>
  <c r="AH32" i="1"/>
  <c r="AI32" i="1"/>
  <c r="AJ32" i="1"/>
  <c r="CQ32" i="1"/>
  <c r="P32" i="1" s="1"/>
  <c r="CR32" i="1"/>
  <c r="Q32" i="1" s="1"/>
  <c r="CS32" i="1"/>
  <c r="R32" i="1" s="1"/>
  <c r="CU32" i="1"/>
  <c r="T32" i="1" s="1"/>
  <c r="CV32" i="1"/>
  <c r="U32" i="1" s="1"/>
  <c r="CW32" i="1"/>
  <c r="V32" i="1" s="1"/>
  <c r="CX32" i="1"/>
  <c r="W32" i="1" s="1"/>
  <c r="GL32" i="1"/>
  <c r="GO32" i="1"/>
  <c r="GP32" i="1"/>
  <c r="GV32" i="1"/>
  <c r="HC32" i="1" s="1"/>
  <c r="GX32" i="1" s="1"/>
  <c r="I33" i="1"/>
  <c r="AC33" i="1"/>
  <c r="AE33" i="1"/>
  <c r="AD33" i="1" s="1"/>
  <c r="AF33" i="1"/>
  <c r="CT33" i="1" s="1"/>
  <c r="S33" i="1" s="1"/>
  <c r="AG33" i="1"/>
  <c r="CU33" i="1" s="1"/>
  <c r="T33" i="1" s="1"/>
  <c r="AH33" i="1"/>
  <c r="AI33" i="1"/>
  <c r="CW33" i="1" s="1"/>
  <c r="V33" i="1" s="1"/>
  <c r="AJ33" i="1"/>
  <c r="CV33" i="1"/>
  <c r="U33" i="1" s="1"/>
  <c r="CX33" i="1"/>
  <c r="W33" i="1" s="1"/>
  <c r="GL33" i="1"/>
  <c r="GO33" i="1"/>
  <c r="GP33" i="1"/>
  <c r="GV33" i="1"/>
  <c r="HC33" i="1" s="1"/>
  <c r="GX33" i="1" s="1"/>
  <c r="B35" i="1"/>
  <c r="B22" i="1" s="1"/>
  <c r="C35" i="1"/>
  <c r="C22" i="1" s="1"/>
  <c r="D35" i="1"/>
  <c r="D22" i="1" s="1"/>
  <c r="F35" i="1"/>
  <c r="F22" i="1" s="1"/>
  <c r="G35" i="1"/>
  <c r="G22" i="1" s="1"/>
  <c r="BX35" i="1"/>
  <c r="BX22" i="1" s="1"/>
  <c r="BY35" i="1"/>
  <c r="BY22" i="1" s="1"/>
  <c r="CK35" i="1"/>
  <c r="CK22" i="1" s="1"/>
  <c r="CL35" i="1"/>
  <c r="CL22" i="1" s="1"/>
  <c r="B65" i="1"/>
  <c r="B18" i="1" s="1"/>
  <c r="C65" i="1"/>
  <c r="C18" i="1" s="1"/>
  <c r="D65" i="1"/>
  <c r="D18" i="1" s="1"/>
  <c r="F65" i="1"/>
  <c r="F18" i="1" s="1"/>
  <c r="G65" i="1"/>
  <c r="G18" i="1" s="1"/>
  <c r="F12" i="6"/>
  <c r="G12" i="6"/>
  <c r="AB25" i="1" l="1"/>
  <c r="CX10" i="3"/>
  <c r="CW10" i="3"/>
  <c r="DI11" i="3"/>
  <c r="DH11" i="3"/>
  <c r="DG68" i="3"/>
  <c r="DF68" i="3"/>
  <c r="DJ68" i="3" s="1"/>
  <c r="S27" i="1"/>
  <c r="HJ27" i="1" s="1"/>
  <c r="DH15" i="3"/>
  <c r="DI14" i="3"/>
  <c r="DI10" i="3"/>
  <c r="DF30" i="3"/>
  <c r="DJ30" i="3" s="1"/>
  <c r="L146" i="7"/>
  <c r="L193" i="7" s="1"/>
  <c r="R27" i="1"/>
  <c r="P27" i="1"/>
  <c r="V27" i="1"/>
  <c r="T27" i="1"/>
  <c r="DF22" i="3"/>
  <c r="DJ22" i="3" s="1"/>
  <c r="CD35" i="1"/>
  <c r="CD22" i="1" s="1"/>
  <c r="BZ35" i="1"/>
  <c r="DF26" i="3"/>
  <c r="DJ26" i="3" s="1"/>
  <c r="DF18" i="3"/>
  <c r="DJ18" i="3" s="1"/>
  <c r="J123" i="7"/>
  <c r="J121" i="7" s="1"/>
  <c r="J152" i="7"/>
  <c r="J146" i="7" s="1"/>
  <c r="J193" i="7" s="1"/>
  <c r="L179" i="7"/>
  <c r="GN29" i="1"/>
  <c r="HD29" i="1"/>
  <c r="J150" i="7"/>
  <c r="DH16" i="3"/>
  <c r="DI16" i="3"/>
  <c r="DF16" i="3"/>
  <c r="DG16" i="3"/>
  <c r="DJ16" i="3" s="1"/>
  <c r="DG41" i="3"/>
  <c r="DF41" i="3"/>
  <c r="DJ41" i="3" s="1"/>
  <c r="DH41" i="3"/>
  <c r="DH12" i="3"/>
  <c r="DI12" i="3"/>
  <c r="DF12" i="3"/>
  <c r="DG12" i="3"/>
  <c r="DJ12" i="3" s="1"/>
  <c r="DG8" i="3"/>
  <c r="DF8" i="3"/>
  <c r="DH8" i="3"/>
  <c r="CR33" i="1"/>
  <c r="Q33" i="1" s="1"/>
  <c r="AB31" i="1"/>
  <c r="O95" i="7"/>
  <c r="AF95" i="7"/>
  <c r="J84" i="7"/>
  <c r="X93" i="7" s="1"/>
  <c r="J83" i="7"/>
  <c r="P93" i="7" s="1"/>
  <c r="CT24" i="1"/>
  <c r="S24" i="1" s="1"/>
  <c r="HJ24" i="1" s="1"/>
  <c r="L60" i="7" s="1"/>
  <c r="AR70" i="7" s="1"/>
  <c r="L67" i="7" s="1"/>
  <c r="J60" i="7"/>
  <c r="I95" i="7"/>
  <c r="J61" i="7"/>
  <c r="P70" i="7" s="1"/>
  <c r="J62" i="7"/>
  <c r="X70" i="7" s="1"/>
  <c r="C59" i="7"/>
  <c r="G58" i="7"/>
  <c r="DH70" i="3"/>
  <c r="DH66" i="3"/>
  <c r="DH62" i="3"/>
  <c r="DH58" i="3"/>
  <c r="DH36" i="3"/>
  <c r="DH34" i="3"/>
  <c r="DH28" i="3"/>
  <c r="DH24" i="3"/>
  <c r="DH20" i="3"/>
  <c r="DG15" i="3"/>
  <c r="DJ15" i="3" s="1"/>
  <c r="DG11" i="3"/>
  <c r="DJ11" i="3" s="1"/>
  <c r="L110" i="7"/>
  <c r="CR24" i="1"/>
  <c r="Q24" i="1" s="1"/>
  <c r="U24" i="1"/>
  <c r="G64" i="7" s="1"/>
  <c r="AD24" i="1"/>
  <c r="AB24" i="1" s="1"/>
  <c r="DF70" i="3"/>
  <c r="DJ70" i="3" s="1"/>
  <c r="DF66" i="3"/>
  <c r="DJ66" i="3" s="1"/>
  <c r="DF62" i="3"/>
  <c r="DJ62" i="3" s="1"/>
  <c r="DF58" i="3"/>
  <c r="DJ58" i="3" s="1"/>
  <c r="DH53" i="3"/>
  <c r="DH51" i="3"/>
  <c r="DH49" i="3"/>
  <c r="DH47" i="3"/>
  <c r="DH45" i="3"/>
  <c r="DH43" i="3"/>
  <c r="DH39" i="3"/>
  <c r="DF36" i="3"/>
  <c r="DF34" i="3"/>
  <c r="CX32" i="3"/>
  <c r="DF28" i="3"/>
  <c r="DJ28" i="3" s="1"/>
  <c r="DF24" i="3"/>
  <c r="DJ24" i="3" s="1"/>
  <c r="DF20" i="3"/>
  <c r="DJ20" i="3" s="1"/>
  <c r="CX17" i="3"/>
  <c r="DF15" i="3"/>
  <c r="DG14" i="3"/>
  <c r="DJ14" i="3" s="1"/>
  <c r="CX13" i="3"/>
  <c r="DF11" i="3"/>
  <c r="DG10" i="3"/>
  <c r="DJ10" i="3" s="1"/>
  <c r="U79" i="7"/>
  <c r="AH35" i="1"/>
  <c r="W31" i="1"/>
  <c r="AJ35" i="1" s="1"/>
  <c r="O97" i="7"/>
  <c r="AF97" i="7"/>
  <c r="C72" i="7"/>
  <c r="G71" i="7"/>
  <c r="V31" i="1"/>
  <c r="CP28" i="1"/>
  <c r="GM28" i="1" s="1"/>
  <c r="HR28" i="1" s="1"/>
  <c r="L94" i="7" s="1"/>
  <c r="CT26" i="1"/>
  <c r="S26" i="1" s="1"/>
  <c r="CP26" i="1" s="1"/>
  <c r="O26" i="1" s="1"/>
  <c r="J82" i="7"/>
  <c r="V25" i="1"/>
  <c r="P24" i="1"/>
  <c r="J63" i="7"/>
  <c r="AA70" i="7" s="1"/>
  <c r="DH72" i="3"/>
  <c r="DH68" i="3"/>
  <c r="DH64" i="3"/>
  <c r="DH60" i="3"/>
  <c r="DH56" i="3"/>
  <c r="CX54" i="3"/>
  <c r="DF53" i="3"/>
  <c r="CX52" i="3"/>
  <c r="DF51" i="3"/>
  <c r="CX50" i="3"/>
  <c r="DF49" i="3"/>
  <c r="CX48" i="3"/>
  <c r="DF47" i="3"/>
  <c r="CX46" i="3"/>
  <c r="DF45" i="3"/>
  <c r="DF43" i="3"/>
  <c r="DJ43" i="3" s="1"/>
  <c r="DF39" i="3"/>
  <c r="DJ39" i="3" s="1"/>
  <c r="DH37" i="3"/>
  <c r="DH35" i="3"/>
  <c r="DH30" i="3"/>
  <c r="DH26" i="3"/>
  <c r="DH22" i="3"/>
  <c r="DH18" i="3"/>
  <c r="I97" i="7"/>
  <c r="S79" i="7"/>
  <c r="J76" i="7" s="1"/>
  <c r="AG35" i="1"/>
  <c r="HI32" i="1"/>
  <c r="HL32" i="1" s="1"/>
  <c r="CZ32" i="1"/>
  <c r="Y32" i="1" s="1"/>
  <c r="CJ35" i="1"/>
  <c r="HJ33" i="1"/>
  <c r="AB33" i="1"/>
  <c r="HK32" i="1"/>
  <c r="CY32" i="1"/>
  <c r="X32" i="1" s="1"/>
  <c r="BC35" i="1"/>
  <c r="AO35" i="1"/>
  <c r="HJ31" i="1"/>
  <c r="HJ25" i="1"/>
  <c r="L73" i="7" s="1"/>
  <c r="BB35" i="1"/>
  <c r="AP35" i="1"/>
  <c r="CS33" i="1"/>
  <c r="R33" i="1" s="1"/>
  <c r="HI33" i="1" s="1"/>
  <c r="CQ33" i="1"/>
  <c r="P33" i="1" s="1"/>
  <c r="CP32" i="1"/>
  <c r="O32" i="1" s="1"/>
  <c r="HJ30" i="1"/>
  <c r="AB30" i="1"/>
  <c r="CU7" i="3"/>
  <c r="CV7" i="3"/>
  <c r="DF73" i="3"/>
  <c r="DJ73" i="3" s="1"/>
  <c r="DH73" i="3"/>
  <c r="DG73" i="3"/>
  <c r="DI73" i="3"/>
  <c r="DF71" i="3"/>
  <c r="DJ71" i="3" s="1"/>
  <c r="DH71" i="3"/>
  <c r="DG71" i="3"/>
  <c r="DI71" i="3"/>
  <c r="DF69" i="3"/>
  <c r="DJ69" i="3" s="1"/>
  <c r="DH69" i="3"/>
  <c r="DG69" i="3"/>
  <c r="DI69" i="3"/>
  <c r="DF67" i="3"/>
  <c r="DJ67" i="3" s="1"/>
  <c r="DH67" i="3"/>
  <c r="DG67" i="3"/>
  <c r="DI67" i="3"/>
  <c r="DF65" i="3"/>
  <c r="DJ65" i="3" s="1"/>
  <c r="DH65" i="3"/>
  <c r="DG65" i="3"/>
  <c r="DI65" i="3"/>
  <c r="DF63" i="3"/>
  <c r="DJ63" i="3" s="1"/>
  <c r="DH63" i="3"/>
  <c r="DG63" i="3"/>
  <c r="DI63" i="3"/>
  <c r="DF61" i="3"/>
  <c r="DJ61" i="3" s="1"/>
  <c r="DH61" i="3"/>
  <c r="DG61" i="3"/>
  <c r="DI61" i="3"/>
  <c r="DF59" i="3"/>
  <c r="DJ59" i="3" s="1"/>
  <c r="DH59" i="3"/>
  <c r="DG59" i="3"/>
  <c r="DI59" i="3"/>
  <c r="DF57" i="3"/>
  <c r="DJ57" i="3" s="1"/>
  <c r="DH57" i="3"/>
  <c r="DG57" i="3"/>
  <c r="DI57" i="3"/>
  <c r="DF55" i="3"/>
  <c r="DJ55" i="3" s="1"/>
  <c r="DH55" i="3"/>
  <c r="DG55" i="3"/>
  <c r="DI55" i="3"/>
  <c r="CS31" i="1"/>
  <c r="R31" i="1" s="1"/>
  <c r="HI31" i="1" s="1"/>
  <c r="CQ31" i="1"/>
  <c r="P31" i="1" s="1"/>
  <c r="CP31" i="1" s="1"/>
  <c r="O31" i="1" s="1"/>
  <c r="CS30" i="1"/>
  <c r="R30" i="1" s="1"/>
  <c r="HI30" i="1" s="1"/>
  <c r="CQ30" i="1"/>
  <c r="P30" i="1" s="1"/>
  <c r="CP30" i="1" s="1"/>
  <c r="O30" i="1" s="1"/>
  <c r="HR29" i="1"/>
  <c r="L96" i="7" s="1"/>
  <c r="CS25" i="1"/>
  <c r="R25" i="1" s="1"/>
  <c r="CY25" i="1" s="1"/>
  <c r="X25" i="1" s="1"/>
  <c r="AD79" i="7" s="1"/>
  <c r="J77" i="7" s="1"/>
  <c r="CQ25" i="1"/>
  <c r="P25" i="1" s="1"/>
  <c r="CV1" i="3"/>
  <c r="CX3" i="3"/>
  <c r="CU1" i="3"/>
  <c r="CX1" i="3"/>
  <c r="CW3" i="3"/>
  <c r="CX4" i="3"/>
  <c r="CX6" i="3"/>
  <c r="DF44" i="3"/>
  <c r="DH44" i="3"/>
  <c r="DG44" i="3"/>
  <c r="DI44" i="3"/>
  <c r="DJ44" i="3" s="1"/>
  <c r="DF42" i="3"/>
  <c r="DJ42" i="3" s="1"/>
  <c r="DH42" i="3"/>
  <c r="DG42" i="3"/>
  <c r="DI42" i="3"/>
  <c r="DF40" i="3"/>
  <c r="DJ40" i="3" s="1"/>
  <c r="DH40" i="3"/>
  <c r="DG40" i="3"/>
  <c r="DI40" i="3"/>
  <c r="DF38" i="3"/>
  <c r="DJ38" i="3" s="1"/>
  <c r="DH38" i="3"/>
  <c r="DG38" i="3"/>
  <c r="DI38" i="3"/>
  <c r="DF33" i="3"/>
  <c r="DH33" i="3"/>
  <c r="DF31" i="3"/>
  <c r="DJ31" i="3" s="1"/>
  <c r="DH31" i="3"/>
  <c r="DG31" i="3"/>
  <c r="DI31" i="3"/>
  <c r="DF29" i="3"/>
  <c r="DJ29" i="3" s="1"/>
  <c r="DH29" i="3"/>
  <c r="DG29" i="3"/>
  <c r="DI29" i="3"/>
  <c r="DF27" i="3"/>
  <c r="DJ27" i="3" s="1"/>
  <c r="DH27" i="3"/>
  <c r="DG27" i="3"/>
  <c r="DI27" i="3"/>
  <c r="DF25" i="3"/>
  <c r="DJ25" i="3" s="1"/>
  <c r="DH25" i="3"/>
  <c r="DG25" i="3"/>
  <c r="DI25" i="3"/>
  <c r="DF23" i="3"/>
  <c r="DJ23" i="3" s="1"/>
  <c r="DH23" i="3"/>
  <c r="DG23" i="3"/>
  <c r="DI23" i="3"/>
  <c r="DF21" i="3"/>
  <c r="DJ21" i="3" s="1"/>
  <c r="DH21" i="3"/>
  <c r="DG21" i="3"/>
  <c r="DI21" i="3"/>
  <c r="DF19" i="3"/>
  <c r="DJ19" i="3" s="1"/>
  <c r="DH19" i="3"/>
  <c r="DG19" i="3"/>
  <c r="DI19" i="3"/>
  <c r="DF9" i="3"/>
  <c r="DH9" i="3"/>
  <c r="DG9" i="3"/>
  <c r="DI9" i="3"/>
  <c r="DJ9" i="3" s="1"/>
  <c r="CX2" i="3"/>
  <c r="DI72" i="3"/>
  <c r="DI70" i="3"/>
  <c r="DI68" i="3"/>
  <c r="DI66" i="3"/>
  <c r="DI64" i="3"/>
  <c r="DI62" i="3"/>
  <c r="DI60" i="3"/>
  <c r="DI58" i="3"/>
  <c r="DI56" i="3"/>
  <c r="DI54" i="3"/>
  <c r="DI53" i="3"/>
  <c r="DI52" i="3"/>
  <c r="DI51" i="3"/>
  <c r="DI50" i="3"/>
  <c r="DI49" i="3"/>
  <c r="DI48" i="3"/>
  <c r="DI47" i="3"/>
  <c r="DI46" i="3"/>
  <c r="DI45" i="3"/>
  <c r="DJ45" i="3" s="1"/>
  <c r="DI43" i="3"/>
  <c r="DI41" i="3"/>
  <c r="DI39" i="3"/>
  <c r="DI37" i="3"/>
  <c r="DI36" i="3"/>
  <c r="DI35" i="3"/>
  <c r="DI34" i="3"/>
  <c r="DI33" i="3"/>
  <c r="DJ33" i="3" s="1"/>
  <c r="CX7" i="3"/>
  <c r="CX5" i="3"/>
  <c r="DI30" i="3"/>
  <c r="DI28" i="3"/>
  <c r="DI26" i="3"/>
  <c r="DI24" i="3"/>
  <c r="DI22" i="3"/>
  <c r="DI20" i="3"/>
  <c r="DI18" i="3"/>
  <c r="DI8" i="3"/>
  <c r="DJ8" i="3" s="1"/>
  <c r="DH10" i="3" l="1"/>
  <c r="DF10" i="3"/>
  <c r="CP33" i="1"/>
  <c r="O33" i="1" s="1"/>
  <c r="GM32" i="1"/>
  <c r="GN32" i="1" s="1"/>
  <c r="HI27" i="1"/>
  <c r="CZ27" i="1"/>
  <c r="Y27" i="1" s="1"/>
  <c r="CY27" i="1"/>
  <c r="X27" i="1" s="1"/>
  <c r="CI35" i="1"/>
  <c r="CI22" i="1" s="1"/>
  <c r="BZ22" i="1"/>
  <c r="U35" i="1"/>
  <c r="AH22" i="1"/>
  <c r="HJ26" i="1"/>
  <c r="L82" i="7" s="1"/>
  <c r="CP27" i="1"/>
  <c r="O27" i="1" s="1"/>
  <c r="AZ35" i="1"/>
  <c r="AZ22" i="1" s="1"/>
  <c r="CY24" i="1"/>
  <c r="X24" i="1" s="1"/>
  <c r="AD70" i="7" s="1"/>
  <c r="CY26" i="1"/>
  <c r="X26" i="1" s="1"/>
  <c r="AD93" i="7" s="1"/>
  <c r="J91" i="7" s="1"/>
  <c r="CZ26" i="1"/>
  <c r="Y26" i="1" s="1"/>
  <c r="AE93" i="7" s="1"/>
  <c r="J92" i="7" s="1"/>
  <c r="CZ24" i="1"/>
  <c r="Y24" i="1" s="1"/>
  <c r="AE70" i="7" s="1"/>
  <c r="J69" i="7" s="1"/>
  <c r="AQ35" i="1"/>
  <c r="AQ65" i="1" s="1"/>
  <c r="AF35" i="1"/>
  <c r="S35" i="1" s="1"/>
  <c r="AI35" i="1"/>
  <c r="V35" i="1" s="1"/>
  <c r="CP24" i="1"/>
  <c r="O24" i="1" s="1"/>
  <c r="CG35" i="1"/>
  <c r="AU35" i="1"/>
  <c r="AU22" i="1" s="1"/>
  <c r="AJ22" i="1"/>
  <c r="W35" i="1"/>
  <c r="F59" i="1" s="1"/>
  <c r="K97" i="7"/>
  <c r="BB97" i="7"/>
  <c r="AN97" i="7"/>
  <c r="DG17" i="3"/>
  <c r="DJ17" i="3" s="1"/>
  <c r="DH17" i="3"/>
  <c r="DI17" i="3"/>
  <c r="DF17" i="3"/>
  <c r="DG32" i="3"/>
  <c r="DH32" i="3"/>
  <c r="DF32" i="3"/>
  <c r="J177" i="7"/>
  <c r="J108" i="7"/>
  <c r="U70" i="7"/>
  <c r="J66" i="7"/>
  <c r="S70" i="7"/>
  <c r="J116" i="7"/>
  <c r="J185" i="7"/>
  <c r="DI32" i="3"/>
  <c r="DJ32" i="3" s="1"/>
  <c r="AR93" i="7"/>
  <c r="L90" i="7" s="1"/>
  <c r="DG48" i="3"/>
  <c r="DJ48" i="3" s="1"/>
  <c r="DF48" i="3"/>
  <c r="DH48" i="3"/>
  <c r="DG52" i="3"/>
  <c r="DJ52" i="3" s="1"/>
  <c r="DF52" i="3"/>
  <c r="DH52" i="3"/>
  <c r="J183" i="7"/>
  <c r="J114" i="7"/>
  <c r="DG13" i="3"/>
  <c r="DJ13" i="3" s="1"/>
  <c r="DH13" i="3"/>
  <c r="DI13" i="3"/>
  <c r="DF13" i="3"/>
  <c r="GN28" i="1"/>
  <c r="HD28" i="1"/>
  <c r="CM35" i="1" s="1"/>
  <c r="S93" i="7"/>
  <c r="J90" i="7" s="1"/>
  <c r="J89" i="7"/>
  <c r="U93" i="7"/>
  <c r="K95" i="7"/>
  <c r="BB95" i="7"/>
  <c r="AN95" i="7"/>
  <c r="AR79" i="7"/>
  <c r="DG46" i="3"/>
  <c r="DJ46" i="3" s="1"/>
  <c r="DF46" i="3"/>
  <c r="DH46" i="3"/>
  <c r="DG50" i="3"/>
  <c r="DJ50" i="3" s="1"/>
  <c r="DF50" i="3"/>
  <c r="DH50" i="3"/>
  <c r="DG54" i="3"/>
  <c r="DJ54" i="3" s="1"/>
  <c r="DF54" i="3"/>
  <c r="DH54" i="3"/>
  <c r="J110" i="7"/>
  <c r="J179" i="7"/>
  <c r="AD35" i="1"/>
  <c r="DF7" i="3"/>
  <c r="DH7" i="3"/>
  <c r="DG7" i="3"/>
  <c r="DI7" i="3"/>
  <c r="DJ7" i="3" s="1"/>
  <c r="DF2" i="3"/>
  <c r="DH2" i="3"/>
  <c r="DG2" i="3"/>
  <c r="DI2" i="3"/>
  <c r="DJ2" i="3" s="1"/>
  <c r="DG4" i="3"/>
  <c r="DI4" i="3"/>
  <c r="DF4" i="3"/>
  <c r="DJ4" i="3" s="1"/>
  <c r="DH4" i="3"/>
  <c r="DG1" i="3"/>
  <c r="DI1" i="3"/>
  <c r="DJ1" i="3" s="1"/>
  <c r="DF1" i="3"/>
  <c r="DH1" i="3"/>
  <c r="DF3" i="3"/>
  <c r="DH3" i="3"/>
  <c r="DG3" i="3"/>
  <c r="DJ3" i="3" s="1"/>
  <c r="DI3" i="3"/>
  <c r="CP25" i="1"/>
  <c r="O25" i="1" s="1"/>
  <c r="AC35" i="1"/>
  <c r="HK26" i="1"/>
  <c r="AZ93" i="7" s="1"/>
  <c r="L91" i="7" s="1"/>
  <c r="HK30" i="1"/>
  <c r="HL30" i="1"/>
  <c r="CY30" i="1"/>
  <c r="X30" i="1" s="1"/>
  <c r="AP22" i="1"/>
  <c r="F44" i="1"/>
  <c r="AP65" i="1"/>
  <c r="HL24" i="1"/>
  <c r="BA70" i="7" s="1"/>
  <c r="HK24" i="1"/>
  <c r="AZ70" i="7" s="1"/>
  <c r="GM27" i="1"/>
  <c r="GN27" i="1" s="1"/>
  <c r="CZ31" i="1"/>
  <c r="Y31" i="1" s="1"/>
  <c r="AO22" i="1"/>
  <c r="AO65" i="1"/>
  <c r="F39" i="1"/>
  <c r="CZ33" i="1"/>
  <c r="Y33" i="1" s="1"/>
  <c r="CY33" i="1"/>
  <c r="X33" i="1" s="1"/>
  <c r="AG22" i="1"/>
  <c r="T35" i="1"/>
  <c r="U22" i="1"/>
  <c r="F57" i="1"/>
  <c r="U65" i="1"/>
  <c r="DF5" i="3"/>
  <c r="DJ5" i="3" s="1"/>
  <c r="DH5" i="3"/>
  <c r="DG5" i="3"/>
  <c r="DI5" i="3"/>
  <c r="DG6" i="3"/>
  <c r="DI6" i="3"/>
  <c r="DF6" i="3"/>
  <c r="DJ6" i="3" s="1"/>
  <c r="DH6" i="3"/>
  <c r="HI25" i="1"/>
  <c r="HL25" i="1" s="1"/>
  <c r="BA79" i="7" s="1"/>
  <c r="L78" i="7" s="1"/>
  <c r="AE35" i="1"/>
  <c r="HL27" i="1"/>
  <c r="HK27" i="1"/>
  <c r="CZ30" i="1"/>
  <c r="Y30" i="1" s="1"/>
  <c r="BB22" i="1"/>
  <c r="F48" i="1"/>
  <c r="BB65" i="1"/>
  <c r="CZ25" i="1"/>
  <c r="Y25" i="1" s="1"/>
  <c r="AE79" i="7" s="1"/>
  <c r="J78" i="7" s="1"/>
  <c r="O79" i="7" s="1"/>
  <c r="GM26" i="1"/>
  <c r="GN26" i="1" s="1"/>
  <c r="HK31" i="1"/>
  <c r="HL31" i="1"/>
  <c r="CY31" i="1"/>
  <c r="X31" i="1" s="1"/>
  <c r="BC22" i="1"/>
  <c r="BC65" i="1"/>
  <c r="F51" i="1"/>
  <c r="HK33" i="1"/>
  <c r="HL33" i="1"/>
  <c r="AF22" i="1"/>
  <c r="CJ22" i="1"/>
  <c r="BA35" i="1"/>
  <c r="AI22" i="1"/>
  <c r="J187" i="7" l="1"/>
  <c r="J68" i="7"/>
  <c r="GM24" i="1"/>
  <c r="AB35" i="1"/>
  <c r="AQ22" i="1"/>
  <c r="BH93" i="7"/>
  <c r="AK35" i="1"/>
  <c r="AK22" i="1" s="1"/>
  <c r="HL26" i="1"/>
  <c r="BA93" i="7" s="1"/>
  <c r="L174" i="7"/>
  <c r="O93" i="7"/>
  <c r="J118" i="7"/>
  <c r="I93" i="7"/>
  <c r="F54" i="1"/>
  <c r="F46" i="1"/>
  <c r="AU65" i="1"/>
  <c r="AU18" i="1" s="1"/>
  <c r="AZ65" i="1"/>
  <c r="AZ18" i="1" s="1"/>
  <c r="I70" i="7"/>
  <c r="W22" i="1"/>
  <c r="F45" i="1"/>
  <c r="W65" i="1"/>
  <c r="F89" i="1" s="1"/>
  <c r="O70" i="7"/>
  <c r="CG22" i="1"/>
  <c r="AX35" i="1"/>
  <c r="AN93" i="7"/>
  <c r="AL35" i="1"/>
  <c r="AL22" i="1" s="1"/>
  <c r="J119" i="7"/>
  <c r="BH79" i="7"/>
  <c r="J105" i="7"/>
  <c r="J67" i="7"/>
  <c r="J46" i="7"/>
  <c r="J186" i="7"/>
  <c r="J174" i="7"/>
  <c r="J117" i="7"/>
  <c r="J175" i="7"/>
  <c r="L177" i="7"/>
  <c r="L175" i="7" s="1"/>
  <c r="L185" i="7"/>
  <c r="L116" i="7"/>
  <c r="J47" i="7"/>
  <c r="G197" i="7"/>
  <c r="GM33" i="1"/>
  <c r="GN33" i="1" s="1"/>
  <c r="GM30" i="1"/>
  <c r="GO30" i="1" s="1"/>
  <c r="L76" i="7"/>
  <c r="L117" i="7"/>
  <c r="L186" i="7"/>
  <c r="CM22" i="1"/>
  <c r="BD35" i="1"/>
  <c r="J112" i="7"/>
  <c r="L114" i="7"/>
  <c r="L112" i="7" s="1"/>
  <c r="I46" i="7"/>
  <c r="L69" i="7"/>
  <c r="I79" i="7"/>
  <c r="L108" i="7"/>
  <c r="L106" i="7" s="1"/>
  <c r="J106" i="7"/>
  <c r="L68" i="7"/>
  <c r="Q35" i="1"/>
  <c r="AD22" i="1"/>
  <c r="BH70" i="7"/>
  <c r="L183" i="7"/>
  <c r="L181" i="7" s="1"/>
  <c r="J181" i="7"/>
  <c r="L105" i="7"/>
  <c r="J188" i="7"/>
  <c r="V22" i="1"/>
  <c r="F58" i="1"/>
  <c r="V65" i="1"/>
  <c r="BC18" i="1"/>
  <c r="F81" i="1"/>
  <c r="T22" i="1"/>
  <c r="F56" i="1"/>
  <c r="T65" i="1"/>
  <c r="HK25" i="1"/>
  <c r="AZ79" i="7" s="1"/>
  <c r="AB22" i="1"/>
  <c r="O35" i="1"/>
  <c r="GM31" i="1"/>
  <c r="GO31" i="1" s="1"/>
  <c r="CC35" i="1" s="1"/>
  <c r="AC22" i="1"/>
  <c r="P35" i="1"/>
  <c r="CE35" i="1"/>
  <c r="CF35" i="1"/>
  <c r="CH35" i="1"/>
  <c r="BA22" i="1"/>
  <c r="BA65" i="1"/>
  <c r="F55" i="1"/>
  <c r="BB18" i="1"/>
  <c r="F78" i="1"/>
  <c r="S22" i="1"/>
  <c r="F50" i="1"/>
  <c r="S65" i="1"/>
  <c r="AQ18" i="1"/>
  <c r="F75" i="1"/>
  <c r="AE22" i="1"/>
  <c r="R35" i="1"/>
  <c r="U18" i="1"/>
  <c r="F87" i="1"/>
  <c r="AO18" i="1"/>
  <c r="F69" i="1"/>
  <c r="AP18" i="1"/>
  <c r="F74" i="1"/>
  <c r="GN24" i="1"/>
  <c r="GM25" i="1"/>
  <c r="GN25" i="1" s="1"/>
  <c r="L92" i="7" l="1"/>
  <c r="L188" i="7"/>
  <c r="L119" i="7"/>
  <c r="F84" i="1"/>
  <c r="X35" i="1"/>
  <c r="W18" i="1"/>
  <c r="F76" i="1"/>
  <c r="Y35" i="1"/>
  <c r="F62" i="1" s="1"/>
  <c r="AN70" i="7"/>
  <c r="AX22" i="1"/>
  <c r="AX65" i="1"/>
  <c r="F42" i="1"/>
  <c r="L172" i="7"/>
  <c r="D47" i="7"/>
  <c r="D44" i="7" s="1"/>
  <c r="CA35" i="1"/>
  <c r="AR35" i="1" s="1"/>
  <c r="L77" i="7"/>
  <c r="AN79" i="7" s="1"/>
  <c r="C47" i="7"/>
  <c r="C44" i="7" s="1"/>
  <c r="J103" i="7"/>
  <c r="J101" i="7" s="1"/>
  <c r="J170" i="7" s="1"/>
  <c r="L118" i="7"/>
  <c r="BD22" i="1"/>
  <c r="F60" i="1"/>
  <c r="BD65" i="1"/>
  <c r="F47" i="1"/>
  <c r="Q65" i="1"/>
  <c r="Q22" i="1"/>
  <c r="J172" i="7"/>
  <c r="J48" i="7"/>
  <c r="G198" i="7"/>
  <c r="L103" i="7"/>
  <c r="L187" i="7"/>
  <c r="CC22" i="1"/>
  <c r="AT35" i="1"/>
  <c r="R22" i="1"/>
  <c r="R65" i="1"/>
  <c r="F49" i="1"/>
  <c r="S18" i="1"/>
  <c r="F80" i="1"/>
  <c r="BA18" i="1"/>
  <c r="F85" i="1"/>
  <c r="CH22" i="1"/>
  <c r="AY35" i="1"/>
  <c r="CE22" i="1"/>
  <c r="AV35" i="1"/>
  <c r="O22" i="1"/>
  <c r="F37" i="1"/>
  <c r="O65" i="1"/>
  <c r="V18" i="1"/>
  <c r="F88" i="1"/>
  <c r="CB35" i="1"/>
  <c r="CF22" i="1"/>
  <c r="AW35" i="1"/>
  <c r="P22" i="1"/>
  <c r="F38" i="1"/>
  <c r="P65" i="1"/>
  <c r="T18" i="1"/>
  <c r="F86" i="1"/>
  <c r="L101" i="7" l="1"/>
  <c r="L170" i="7" s="1"/>
  <c r="L200" i="7" s="1"/>
  <c r="L201" i="7" s="1"/>
  <c r="X65" i="1"/>
  <c r="X22" i="1"/>
  <c r="F61" i="1"/>
  <c r="Y22" i="1"/>
  <c r="CA22" i="1"/>
  <c r="Y65" i="1"/>
  <c r="F92" i="1" s="1"/>
  <c r="AX18" i="1"/>
  <c r="F72" i="1"/>
  <c r="BD18" i="1"/>
  <c r="F90" i="1"/>
  <c r="Q18" i="1"/>
  <c r="F77" i="1"/>
  <c r="P18" i="1"/>
  <c r="F68" i="1"/>
  <c r="X18" i="1"/>
  <c r="F91" i="1"/>
  <c r="O18" i="1"/>
  <c r="F67" i="1"/>
  <c r="R18" i="1"/>
  <c r="F79" i="1"/>
  <c r="AR22" i="1"/>
  <c r="F63" i="1"/>
  <c r="AR65" i="1"/>
  <c r="AT22" i="1"/>
  <c r="F53" i="1"/>
  <c r="AT65" i="1"/>
  <c r="CB22" i="1"/>
  <c r="AS35" i="1"/>
  <c r="AW22" i="1"/>
  <c r="AW65" i="1"/>
  <c r="F41" i="1"/>
  <c r="Y18" i="1"/>
  <c r="AV22" i="1"/>
  <c r="F40" i="1"/>
  <c r="AV65" i="1"/>
  <c r="AY22" i="1"/>
  <c r="AY65" i="1"/>
  <c r="F43" i="1"/>
  <c r="AY18" i="1" l="1"/>
  <c r="F73" i="1"/>
  <c r="AS22" i="1"/>
  <c r="F52" i="1"/>
  <c r="AS65" i="1"/>
  <c r="AV18" i="1"/>
  <c r="F70" i="1"/>
  <c r="AW18" i="1"/>
  <c r="F71" i="1"/>
  <c r="AT18" i="1"/>
  <c r="F83" i="1"/>
  <c r="AR18" i="1"/>
  <c r="F93" i="1"/>
  <c r="AS18" i="1" l="1"/>
  <c r="F82" i="1"/>
</calcChain>
</file>

<file path=xl/sharedStrings.xml><?xml version="1.0" encoding="utf-8"?>
<sst xmlns="http://schemas.openxmlformats.org/spreadsheetml/2006/main" count="2555" uniqueCount="461">
  <si>
    <t>Smeta.RU  (495) 974-1589</t>
  </si>
  <si>
    <t>_PS_</t>
  </si>
  <si>
    <t>Smeta.RU</t>
  </si>
  <si>
    <t/>
  </si>
  <si>
    <t>Новый объект</t>
  </si>
  <si>
    <t>Вод башня</t>
  </si>
  <si>
    <t>Сметные нормы списания</t>
  </si>
  <si>
    <t>Коды ценников</t>
  </si>
  <si>
    <t>ФЕР-2020 И9 приказы НР № 812/пр, СП № 774/пр</t>
  </si>
  <si>
    <t>Версия 1.7.1 ГСН (ГЭСН, ФЕР) и ТЕР (Методики НР (812/пр, 636/пр, 611/пр) и СП (774/пр и 317/пр) применять с 08.01.2023 г.)</t>
  </si>
  <si>
    <t>ФЕР-2020 - изменения И9</t>
  </si>
  <si>
    <t>Поправки для ГСН (ФЕР) 2020 от 10.01.2022 г И9 Строительство</t>
  </si>
  <si>
    <t>ГСН</t>
  </si>
  <si>
    <t>Новая локальная смета</t>
  </si>
  <si>
    <t>1</t>
  </si>
  <si>
    <t>08-07-001-03</t>
  </si>
  <si>
    <t>Установка и разборка наружных инвентарных лесов высотой до 16 м: подвесных</t>
  </si>
  <si>
    <t>100 м2</t>
  </si>
  <si>
    <t>ФЕР-2001, 08-07-001-03, приказ Минстроя России № 876/пр от 26.12.2019</t>
  </si>
  <si>
    <t>Общестроительные работы</t>
  </si>
  <si>
    <t>Конструкции из кирпича и блоков</t>
  </si>
  <si>
    <t>ФЕР-08</t>
  </si>
  <si>
    <t>Пр/812-008.0-1</t>
  </si>
  <si>
    <t>Пр/774-008.0</t>
  </si>
  <si>
    <t>2</t>
  </si>
  <si>
    <t>08-07-001-04</t>
  </si>
  <si>
    <t>На каждые последующие 4 м высоты наружных инвентарных лесов добавлять: к расценкам 08-07-001-01, 08-07-001-02</t>
  </si>
  <si>
    <t>ФЕР-2001, 08-07-001-04, приказ Минстроя России № 876/пр от 26.12.2019</t>
  </si>
  <si>
    <t>*2</t>
  </si>
  <si>
    <t>3</t>
  </si>
  <si>
    <t>09-06-033-04</t>
  </si>
  <si>
    <t>Монтаж опор отдельно стоящих башенного и портального типов высотой до 45 м (демонтаж)</t>
  </si>
  <si>
    <t>т</t>
  </si>
  <si>
    <t>ФЕР-2001, 09-06-033-04, приказ Минстроя России № 876/пр от 26.12.2019</t>
  </si>
  <si>
    <t>Поправка: МР 519/пр Табл.2, п.4 Наименование: При демонтаже (разборке) металлических конструкций</t>
  </si>
  <si>
    <t>*0</t>
  </si>
  <si>
    <t>*0,7</t>
  </si>
  <si>
    <t>Строительные металлические конструкции</t>
  </si>
  <si>
    <t>ФЕР-09</t>
  </si>
  <si>
    <t>Поправка: МР 519/пр Табл.2, п.4</t>
  </si>
  <si>
    <t>Пр/812-009.0-1</t>
  </si>
  <si>
    <t>Пр/774-009.0</t>
  </si>
  <si>
    <t>3,1</t>
  </si>
  <si>
    <t>07.2.07.13</t>
  </si>
  <si>
    <t>Конструкции стальные</t>
  </si>
  <si>
    <t>)*0</t>
  </si>
  <si>
    <t>4</t>
  </si>
  <si>
    <t>т01-01-01-030</t>
  </si>
  <si>
    <t>Погрузка при автомобильных перевозках труб металлических с применением автомобильных кранов</t>
  </si>
  <si>
    <t>1 Т ГРУЗА</t>
  </si>
  <si>
    <t>ФССЦпг-2001, т01-01-01-030, приказ Минстроя России №876/пр от 26.12.2019</t>
  </si>
  <si>
    <t>Погрузочно-разгрузочные работы</t>
  </si>
  <si>
    <t>ФССЦпр  пог. а/п (2011,изм. 4-6)</t>
  </si>
  <si>
    <t>5</t>
  </si>
  <si>
    <t>т03-01-01-010</t>
  </si>
  <si>
    <t>Перевозка грузов I класса автомобилями бортовыми грузоподъемностью до 15 т на расстояние до 10 км</t>
  </si>
  <si>
    <t>ФССЦпг-2001, т03-01-01-010, приказ Минстроя России №876/пр от 26.12.2019</t>
  </si>
  <si>
    <t>Автомобили бортовые</t>
  </si>
  <si>
    <t>Перевозка строительных грузов автомобильным транспортом</t>
  </si>
  <si>
    <t>ФССЦпр , изм. 7</t>
  </si>
  <si>
    <t>6</t>
  </si>
  <si>
    <t>м35-01-100-03</t>
  </si>
  <si>
    <t>Башня водонапорная стальная, тип БР-15У</t>
  </si>
  <si>
    <t>ШТ</t>
  </si>
  <si>
    <t>ФЕРм-2001, м35-01-100-03, приказ Минстроя России № 876/пр от 26.12.2019</t>
  </si>
  <si>
    <t>Поправка: МР 519/пр Табл.3, п.3 Наименование: Демонтаж: Оборудование, не пригодное для дальнейшего использования, (предназначено в лом) с разборкой и резкой на части</t>
  </si>
  <si>
    <t>*0,5</t>
  </si>
  <si>
    <t>Монтажные работы</t>
  </si>
  <si>
    <t>Оборудование сельскохозяйственных производств</t>
  </si>
  <si>
    <t>Оборудование сельскохозяйственых производств</t>
  </si>
  <si>
    <t>мФЕР-35</t>
  </si>
  <si>
    <t>Поправка: МР 519/пр Табл.3, п.3</t>
  </si>
  <si>
    <t>Пр/812-077.0-1</t>
  </si>
  <si>
    <t>Пр/774-077.0</t>
  </si>
  <si>
    <t>6,1</t>
  </si>
  <si>
    <t>999-0005</t>
  </si>
  <si>
    <t>Масса оборудования</t>
  </si>
  <si>
    <t>7</t>
  </si>
  <si>
    <t>09-02-009-01</t>
  </si>
  <si>
    <t>Монтаж резервуаров стальных вертикальных цилиндрических двместимостью до 1000 м3 (демонтаж)</t>
  </si>
  <si>
    <t>ФЕР-2001, 09-02-009-01, приказ Минстроя России № 876/пр от 26.12.2019</t>
  </si>
  <si>
    <t>*0)*1,04</t>
  </si>
  <si>
    <t>*0,7)*1,04</t>
  </si>
  <si>
    <t>Поправка: МР 519/пр Табл.2, п.4 Поправка: Прил. 9.1, п.1.1</t>
  </si>
  <si>
    <t>7,1</t>
  </si>
  <si>
    <t>Поправка: МР 519/пр Табл.2, п.4  Поправка: Прил. 9.1, п.1.1</t>
  </si>
  <si>
    <t>)*0)*1,04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</si>
  <si>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</si>
  <si>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</si>
  <si>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</si>
  <si>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</si>
  <si>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</si>
  <si>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</si>
  <si>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</si>
  <si>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</si>
  <si>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</si>
  <si>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</si>
  <si>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</si>
  <si>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</si>
  <si>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</si>
  <si>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</si>
  <si>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</si>
  <si>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</si>
  <si>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</si>
  <si>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</si>
  <si>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</si>
  <si>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</si>
  <si>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</si>
  <si>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</si>
  <si>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</si>
  <si>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</si>
  <si>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</si>
  <si>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</si>
  <si>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</si>
  <si>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</si>
  <si>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</si>
  <si>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</si>
  <si>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</si>
  <si>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</si>
  <si>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</si>
  <si>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</si>
  <si>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</si>
  <si>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</si>
  <si>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</si>
  <si>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</si>
  <si>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</si>
  <si>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</si>
  <si>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</si>
  <si>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</si>
  <si>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</si>
  <si>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</si>
  <si>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</si>
  <si>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</si>
  <si>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</si>
  <si>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</si>
  <si>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</si>
  <si>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</si>
  <si>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</si>
  <si>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</si>
  <si>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</si>
  <si>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</si>
  <si>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</si>
  <si>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</si>
  <si>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</si>
  <si>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</si>
  <si>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</si>
  <si>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</si>
  <si>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</si>
  <si>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</si>
  <si>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</si>
  <si>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</si>
  <si>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</si>
  <si>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</si>
  <si>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</si>
  <si>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</si>
  <si>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</si>
  <si>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</si>
  <si>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</si>
  <si>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</si>
  <si>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</si>
  <si>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</si>
  <si>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</si>
  <si>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</si>
  <si>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</si>
  <si>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</si>
  <si>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</si>
  <si>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</si>
  <si>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</si>
  <si>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</si>
  <si>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</si>
  <si>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</si>
  <si>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</si>
  <si>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</si>
  <si>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</si>
  <si>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</si>
  <si>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</si>
  <si>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</si>
  <si>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</si>
  <si>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</si>
  <si>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</si>
  <si>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</si>
  <si>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</si>
  <si>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</si>
  <si>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</si>
  <si>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</si>
  <si>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</si>
  <si>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</si>
  <si>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</si>
  <si>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</si>
  <si>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</si>
  <si>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</si>
  <si>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</si>
  <si>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</si>
  <si>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</si>
  <si>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</si>
  <si>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</si>
  <si>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</si>
  <si>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</si>
  <si>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</si>
  <si>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</si>
  <si>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</si>
  <si>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</si>
  <si>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</si>
  <si>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</si>
  <si>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</si>
  <si>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Индексы за итогом</t>
  </si>
  <si>
    <t>_OBSM_</t>
  </si>
  <si>
    <t>1-100-31</t>
  </si>
  <si>
    <t>Затраты труда рабочих (Средний разряд - 3,1)</t>
  </si>
  <si>
    <t>чел.-ч.</t>
  </si>
  <si>
    <t>4-100-00</t>
  </si>
  <si>
    <t>Затраты труда машинистов</t>
  </si>
  <si>
    <t>91.14.02-001</t>
  </si>
  <si>
    <t>ФСЭМ-2001, 91.14.02-001 , приказ Минстроя России № 876/пр от 26.12.2019</t>
  </si>
  <si>
    <t>Автомобили бортовые, грузоподъемность до 5 т</t>
  </si>
  <si>
    <t>маш.-ч.</t>
  </si>
  <si>
    <t>01.7.16.02-0001</t>
  </si>
  <si>
    <t>ФССЦ-2001, 01.7.16.02-0001, приказ Минстроя России № 876/пр от 26.12.2019</t>
  </si>
  <si>
    <t>Детали деревянные лесов из пиломатериалов хвойных пород</t>
  </si>
  <si>
    <t>м3</t>
  </si>
  <si>
    <t>01.7.16.02-0003</t>
  </si>
  <si>
    <t>ФССЦ-2001, 01.7.16.02-0003, приказ Минстроя России № 876/пр от 26.12.2019</t>
  </si>
  <si>
    <t>Детали стальных трубчатых лесов, укомплектованные пробками, крючками и хомутами, окрашенные</t>
  </si>
  <si>
    <t>11.2.13.06-0011</t>
  </si>
  <si>
    <t>ФССЦ-2001, 11.2.13.06-0011, приказ Минстроя России № 876/пр от 26.12.2019</t>
  </si>
  <si>
    <t>Щиты настила, все толщины</t>
  </si>
  <si>
    <t>м2</t>
  </si>
  <si>
    <t>1-100-45</t>
  </si>
  <si>
    <t>Затраты труда рабочих (Средний разряд - 4,5)</t>
  </si>
  <si>
    <t>91.05.01-017</t>
  </si>
  <si>
    <t>ФСЭМ-2001, 91.05.01-017 , приказ Минстроя России № 876/пр от 26.12.2019</t>
  </si>
  <si>
    <t>Краны башенные, грузоподъемность 8 т</t>
  </si>
  <si>
    <t>)*0,7</t>
  </si>
  <si>
    <t>91.05.05-015</t>
  </si>
  <si>
    <t>ФСЭМ-2001, 91.05.05-015 , приказ Минстроя России № 876/пр от 26.12.2019</t>
  </si>
  <si>
    <t>Краны на автомобильном ходу, грузоподъемность 16 т</t>
  </si>
  <si>
    <t>91.05.06-007</t>
  </si>
  <si>
    <t>ФСЭМ-2001, 91.05.06-007 , приказ Минстроя России № 876/пр от 26.12.2019</t>
  </si>
  <si>
    <t>Краны на гусеничном ходу, грузоподъемность 25 т</t>
  </si>
  <si>
    <t>91.05.06-009</t>
  </si>
  <si>
    <t>ФСЭМ-2001, 91.05.06-009 , приказ Минстроя России № 876/пр от 26.12.2019</t>
  </si>
  <si>
    <t>Краны на гусеничном ходу, грузоподъемность 50-63 т</t>
  </si>
  <si>
    <t>91.05.08-007</t>
  </si>
  <si>
    <t>ФСЭМ-2001, 91.05.08-007 , приказ Минстроя России № 876/пр от 26.12.2019</t>
  </si>
  <si>
    <t>Краны на пневмоколесном ходу, грузоподъемность 25 т</t>
  </si>
  <si>
    <t>91.17.04-042</t>
  </si>
  <si>
    <t>ФСЭМ-2001, 91.17.04-042 , приказ Минстроя России № 876/пр от 26.12.2019</t>
  </si>
  <si>
    <t>Аппараты для газовой сварки и резки</t>
  </si>
  <si>
    <t>91.17.04-171</t>
  </si>
  <si>
    <t>ФСЭМ-2001, 91.17.04-171 , приказ Минстроя России № 876/пр от 26.12.2019</t>
  </si>
  <si>
    <t>Преобразователи сварочные номинальным сварочным током 315-500 А</t>
  </si>
  <si>
    <t>01.3.02.08-0001</t>
  </si>
  <si>
    <t>ФССЦ-2001, 01.3.02.08-0001, приказ Минстроя России № 876/пр от 26.12.2019</t>
  </si>
  <si>
    <t>Кислород газообразный технический</t>
  </si>
  <si>
    <t>01.3.02.09-0022</t>
  </si>
  <si>
    <t>ФССЦ-2001, 01.3.02.09-0022, приказ Минстроя России № 876/пр от 26.12.2019</t>
  </si>
  <si>
    <t>Пропан-бутан смесь техническая</t>
  </si>
  <si>
    <t>кг</t>
  </si>
  <si>
    <t>01.7.11.07-0036</t>
  </si>
  <si>
    <t>ФССЦ-2001, 01.7.11.07-0036, приказ Минстроя России № 876/пр от 26.12.2019</t>
  </si>
  <si>
    <t>Электроды сварочные Э46, диаметр 4 мм</t>
  </si>
  <si>
    <t>01.7.15.03-0042</t>
  </si>
  <si>
    <t>ФССЦ-2001, 01.7.15.03-0042, приказ Минстроя России № 876/пр от 26.12.2019</t>
  </si>
  <si>
    <t>Болты с гайками и шайбами строительные</t>
  </si>
  <si>
    <t>01.7.15.06-0111</t>
  </si>
  <si>
    <t>ФССЦ-2001, 01.7.15.06-0111, приказ Минстроя России № 876/пр от 26.12.2019</t>
  </si>
  <si>
    <t>Гвозди строительные</t>
  </si>
  <si>
    <t>01.7.20.08-0071</t>
  </si>
  <si>
    <t>ФССЦ-2001, 01.7.20.08-0071, приказ Минстроя России № 876/пр от 26.12.2019</t>
  </si>
  <si>
    <t>Канат пеньковый пропитанный</t>
  </si>
  <si>
    <t>07.2.07.12-0020</t>
  </si>
  <si>
    <t>ФССЦ-2001, 07.2.07.12-0020, приказ Минстроя России № 876/пр от 26.12.2019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</si>
  <si>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</si>
  <si>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</si>
  <si>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ФССЦ-2001, 08.2.02.11-0007, приказ Минстроя России № 876/пр от 26.12.2019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</si>
  <si>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</si>
  <si>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</si>
  <si>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</si>
  <si>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ФССЦ-2001, 08.3.03.06-0002, приказ Минстроя России № 876/пр от 26.12.2019</t>
  </si>
  <si>
    <t>Проволока горячекатаная в мотках, диаметр 6,3-6,5 мм</t>
  </si>
  <si>
    <t>08.3.11.01-0091</t>
  </si>
  <si>
    <t>ФССЦ-2001, 08.3.11.01-0091, приказ Минстроя России № 876/пр от 26.12.2019</t>
  </si>
  <si>
    <t>Швеллеры № 40, марка стали Ст0</t>
  </si>
  <si>
    <t>11.1.03.01-0077</t>
  </si>
  <si>
    <t>ФССЦ-2001, 11.1.03.01-0077, приказ Минстроя России № 876/пр от 26.12.2019</t>
  </si>
  <si>
    <t>Бруски обрезные, хвойных пород, длина 4-6,5 м, ширина 75-150 мм, толщина 40-75 мм, сорт I</t>
  </si>
  <si>
    <t>14.4.01.01-0003</t>
  </si>
  <si>
    <t>ФССЦ-2001, 14.4.01.01-0003, приказ Минстроя России № 876/пр от 26.12.2019</t>
  </si>
  <si>
    <t>Грунтовка ГФ-021</t>
  </si>
  <si>
    <t>14.5.09.07-0030</t>
  </si>
  <si>
    <t>ФССЦ-2001, 14.5.09.07-0030, приказ Минстроя России № 876/пр от 26.12.2019</t>
  </si>
  <si>
    <t>Растворитель Р-4</t>
  </si>
  <si>
    <t>1-100-39</t>
  </si>
  <si>
    <t>Затраты труда рабочих (Средний разряд - 3,9)</t>
  </si>
  <si>
    <t>)*0,5</t>
  </si>
  <si>
    <t>91.06.03-062</t>
  </si>
  <si>
    <t>ФСЭМ-2001, 91.06.03-062 , приказ Минстроя России № 876/пр от 26.12.2019</t>
  </si>
  <si>
    <t>Лебедки электрические тяговым усилием до 31,39 кН (3,2 т)</t>
  </si>
  <si>
    <t>91.17.04-233</t>
  </si>
  <si>
    <t>ФСЭМ-2001, 91.17.04-233 , приказ Минстроя России № 876/пр от 26.12.2019</t>
  </si>
  <si>
    <t>Установки для сварки ручной дуговой (постоянного тока)</t>
  </si>
  <si>
    <t>01.7.03.01-0001</t>
  </si>
  <si>
    <t>ФССЦ-2001, 01.7.03.01-0001, приказ Минстроя России № 876/пр от 26.12.2019</t>
  </si>
  <si>
    <t>Вода</t>
  </si>
  <si>
    <t>01.7.03.04-0001</t>
  </si>
  <si>
    <t>ФССЦ-2001, 01.7.03.04-0001, приказ Минстроя России № 876/пр от 26.12.2019</t>
  </si>
  <si>
    <t>Электроэнергия</t>
  </si>
  <si>
    <t>КВТ-Ч</t>
  </si>
  <si>
    <t>01.7.11.07-0041</t>
  </si>
  <si>
    <t>ФССЦ-2001, 01.7.11.07-0041, приказ Минстроя России № 876/пр от 26.12.2019</t>
  </si>
  <si>
    <t>Электроды сварочные Э55, диаметр 4 мм</t>
  </si>
  <si>
    <t>07.2.07.13-0171</t>
  </si>
  <si>
    <t>ФССЦ-2001, 07.2.07.13-0171, приказ Минстроя России № 876/пр от 26.12.2019</t>
  </si>
  <si>
    <t>Подкладки металлические</t>
  </si>
  <si>
    <t>999-9950</t>
  </si>
  <si>
    <t>Вспомогательные ненормируемые материалы (2% от ОЗП)</t>
  </si>
  <si>
    <t>РУБ</t>
  </si>
  <si>
    <t>1-100-50</t>
  </si>
  <si>
    <t>Затраты труда рабочих (Средний разряд - 5)</t>
  </si>
  <si>
    <t>)*0,7)*1,04</t>
  </si>
  <si>
    <t>91.06.03-052</t>
  </si>
  <si>
    <t>ФСЭМ-2001, 91.06.03-052 , приказ Минстроя России № 876/пр от 26.12.2019</t>
  </si>
  <si>
    <t>Лебедки тракторные тяговым усилием 78,48 кН (8 т)</t>
  </si>
  <si>
    <t>91.15.02-024</t>
  </si>
  <si>
    <t>ФСЭМ-2001, 91.15.02-024 , приказ Минстроя России № 876/пр от 26.12.2019</t>
  </si>
  <si>
    <t>Тракторы на гусеничном ходу, мощность 79 кВт (108 л.с.)</t>
  </si>
  <si>
    <t>91.17.02-101</t>
  </si>
  <si>
    <t>ФСЭМ-2001, 91.17.02-101 , приказ Минстроя России № 876/пр от 26.12.2019</t>
  </si>
  <si>
    <t>Узлы вакуумные испытательные для контроля герметичности шва</t>
  </si>
  <si>
    <t>91.18.01-007</t>
  </si>
  <si>
    <t>ФСЭМ-2001, 91.18.01-007 , приказ Минстроя России № 876/пр от 26.12.2019</t>
  </si>
  <si>
    <t>Компрессоры передвижные с двигателем внутреннего сгорания, давление до 686 кПа (7 ат), производительность до 5 м3/мин</t>
  </si>
  <si>
    <t>01.3.01.03-0002</t>
  </si>
  <si>
    <t>ФССЦ-2001, 01.3.01.03-0002, приказ Минстроя России № 876/пр от 26.12.2019</t>
  </si>
  <si>
    <t>Керосин для технических целей</t>
  </si>
  <si>
    <t>01.7.07.08-0003</t>
  </si>
  <si>
    <t>ФССЦ-2001, 01.7.07.08-0003, приказ Минстроя России № 876/пр от 26.12.2019</t>
  </si>
  <si>
    <t>Мыло хозяйственное твердое 72%</t>
  </si>
  <si>
    <t>01.7.11.07-0066</t>
  </si>
  <si>
    <t>ФССЦ-2001, 01.7.11.07-0066, приказ Минстроя России № 876/пр от 26.12.2019</t>
  </si>
  <si>
    <t>Электроды сварочные Э46, диаметр 8 мм</t>
  </si>
  <si>
    <t>05.1.05.16-0001</t>
  </si>
  <si>
    <t>ФССЦ-2001, 05.1.05.16-0001, приказ Минстроя России № 876/пр от 26.12.2019</t>
  </si>
  <si>
    <t>Блоки анкерные под якорь из тяжелого бетона М150, масса до 15 т, объем от 1 до 4 м3, расход арматуры 1,7 кг/м3</t>
  </si>
  <si>
    <t>25.1.01.05-0025</t>
  </si>
  <si>
    <t>ФССЦ-2001, 25.1.01.05-0025, приказ Минстроя России № 876/пр от 26.12.2019</t>
  </si>
  <si>
    <t>Шпалы из древесины хвойных пород для колеи 750 мм, пропитанные, длина 1500 мм, тип II</t>
  </si>
  <si>
    <t>МР 519/пр Табл.2, п.4</t>
  </si>
  <si>
    <t>При демонтаже (разборке) металлических конструкций</t>
  </si>
  <si>
    <t>Методика ФЕР 519/пр (О.П.)</t>
  </si>
  <si>
    <t>МР 519/пр Табл.3, п.3</t>
  </si>
  <si>
    <t>Демонтаж: Оборудование, не пригодное для дальнейшего использования, (предназначено в лом) с разборкой и резкой на части</t>
  </si>
  <si>
    <t>)*1,04</t>
  </si>
  <si>
    <t>Прил. 9.1, п.1.1</t>
  </si>
  <si>
    <t>Марка стали (по ГОСТ 27772-88) С275;С285. Предел текучести в зависимости от вида толщины проката МПА (кгс/мм2) 265-285 (27-29) Каркасы зданий</t>
  </si>
  <si>
    <t>Тех. часть сб9</t>
  </si>
  <si>
    <t>ГОСУДАРСТВЕННЫЕ СМЕТНЫЕ НОРМАТИВЫ (ФЕР-2020), утвержденные приказами Минстроя России от 26 декабря 2019 г.   № 876/пр (в редакции приказов Минстроя РФ от 30 марта 2020 г. № 172/пр, от 1 июня 2020 г. № 294/пр, от 30 июня 2020 г. № 352/пр,   от 20 октября 2020 г. № 636/пр, от 9 февраля 2021 г. № 51/пр, от 24 мая 2021 г. № 321/пр, от 24 июня 2021 г. № 408/пр,  от 14 октября 2021 № 746/пр, от 20 декабря 2021 № 962/пр)</t>
  </si>
  <si>
    <t>Поправка: МР 519/пр Табл.2, п.4 Наименование: При демонтаже (разборке) металлических конструкций Поправка: Прил. 9.1, п.1.1 Наименование: Марка стали (по ГОСТ 27772-88) С275;С285. Предел текучести в зависимости от вида толщины проката МПА (кгс/мм2) 265-285 (27-29) Каркасы зданий</t>
  </si>
  <si>
    <t>Поправка: МР 519/пр Табл.2, п.4 Наименование: При демонтаже (разборке) металлических конструкций  Поправка: Прил. 9.1, п.1.1 Наименование: Марка стали (по ГОСТ 27772-88) С275;С285. Предел текучести в зависимости от вида толщины проката МПА (кгс/мм2) 265-285 (27-29) Каркасы зданий</t>
  </si>
  <si>
    <t>"СОГЛАСОВАНО"</t>
  </si>
  <si>
    <t>"УТВЕРЖДАЮ"</t>
  </si>
  <si>
    <t>"_____"________________ 2026 г.</t>
  </si>
  <si>
    <t>Наименование программного продукта</t>
  </si>
  <si>
    <t>Наименование редакции сметных нормативов</t>
  </si>
  <si>
    <t>Реквизиты приказов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</si>
  <si>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</si>
  <si>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Нормативный правовой акт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</si>
  <si>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</si>
  <si>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</si>
  <si>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</si>
  <si>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</si>
  <si>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</si>
  <si>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</si>
  <si>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</si>
  <si>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</si>
  <si>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</si>
  <si>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</si>
  <si>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</si>
  <si>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в том числе:</t>
  </si>
  <si>
    <t>Средства на оплату труда рабочих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</si>
  <si>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</si>
  <si>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</si>
  <si>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</si>
  <si>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</si>
  <si>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</si>
  <si>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</si>
  <si>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</si>
  <si>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</si>
  <si>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</si>
  <si>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</si>
  <si>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</si>
  <si>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(гр.8) для ресурсов, отсутствующих в ФРСН), руб.</t>
  </si>
  <si>
    <t>Индексы</t>
  </si>
  <si>
    <t>Сметная стоимость в текущем уровне цен, руб.</t>
  </si>
  <si>
    <t>на единицу измерения</t>
  </si>
  <si>
    <t>коэффициенты</t>
  </si>
  <si>
    <t>всего с учетом коэффициентов</t>
  </si>
  <si>
    <t>всего</t>
  </si>
  <si>
    <t>Программа для ЭВМ «Программа: «Smeta.RU» версия 11»</t>
  </si>
  <si>
    <t>Базисно-индексным</t>
  </si>
  <si>
    <t>Составлена в ценах февраль 2026 года (1.01.2000)</t>
  </si>
  <si>
    <t>ОТ</t>
  </si>
  <si>
    <t>ЭМ</t>
  </si>
  <si>
    <t>в т.ч. ОТм</t>
  </si>
  <si>
    <t>М</t>
  </si>
  <si>
    <t>ЗТ</t>
  </si>
  <si>
    <t>ЗТм</t>
  </si>
  <si>
    <t>Итого по расценке</t>
  </si>
  <si>
    <t>ФОТ</t>
  </si>
  <si>
    <t>НР Конструкции из кирпича и блоков</t>
  </si>
  <si>
    <t>%</t>
  </si>
  <si>
    <t>СП Конструкции из кирпича и блоков</t>
  </si>
  <si>
    <t>Всего по позиции</t>
  </si>
  <si>
    <t>=</t>
  </si>
  <si>
    <r>
      <t>На каждые последующие 4 м высоты наружных инвентарных лесов добавлять: к расценкам 08-07-001-01, 08-07-001-02</t>
    </r>
    <r>
      <rPr>
        <i/>
        <sz val="10"/>
        <rFont val="Arial"/>
        <family val="2"/>
        <charset val="204"/>
      </rPr>
      <t xml:space="preserve">
Поправки к: 
М *2;   
ЭМ *2;   
ОТм *2;   
ОТ *2;   
ЗТ *2;   
ЗТм *2</t>
    </r>
  </si>
  <si>
    <t>При демонтаже (разборке) металлических конструкций
ОТ *0,7; ЭМ *0,7; ОТм *0,7; М *0; ЗТ *0,7; ЗТм *0,7</t>
  </si>
  <si>
    <t>НР Строительные металлические конструкции</t>
  </si>
  <si>
    <t>СП Строительные металлические конструкции</t>
  </si>
  <si>
    <t>ИТОГИ ПО СМЕТЕ</t>
  </si>
  <si>
    <t>ВСЕГО строительные работы</t>
  </si>
  <si>
    <t>в том числе</t>
  </si>
  <si>
    <t>Всего прямые затраты</t>
  </si>
  <si>
    <t xml:space="preserve">  оплата труда (ОТ)</t>
  </si>
  <si>
    <t xml:space="preserve">  эксплуатация машин и механизмов</t>
  </si>
  <si>
    <t xml:space="preserve">  в том числе</t>
  </si>
  <si>
    <t xml:space="preserve">    эксплуатация машин и механизмов без учета доплат к оплате труда машинистов</t>
  </si>
  <si>
    <t xml:space="preserve">    в том числе</t>
  </si>
  <si>
    <t xml:space="preserve">      оплата труда машинистов (ОТм)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</si>
  <si>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</si>
  <si>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</si>
  <si>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</si>
  <si>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</si>
  <si>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</si>
  <si>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</si>
  <si>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</si>
  <si>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</si>
  <si>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</si>
  <si>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</si>
  <si>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</si>
  <si>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</si>
  <si>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ВСЕГО прочие затраты</t>
  </si>
  <si>
    <t xml:space="preserve">   прочие затраты</t>
  </si>
  <si>
    <t xml:space="preserve">   Хозяйственный инвентарь</t>
  </si>
  <si>
    <t>Пусконаладочные работы</t>
  </si>
  <si>
    <t>ВСЕГО по смете</t>
  </si>
  <si>
    <t>Всего ФОТ (справочно)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</si>
  <si>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</si>
  <si>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</si>
  <si>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</si>
  <si>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</si>
  <si>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</si>
  <si>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</si>
  <si>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</si>
  <si>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</si>
  <si>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</si>
  <si>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Составил   </t>
  </si>
  <si>
    <t>[должность,подпись(инициалы,фамилия)]</t>
  </si>
  <si>
    <t xml:space="preserve">Проверил   </t>
  </si>
  <si>
    <t>Демонтаж водонапорной башни п. Добрый, ул. Интернатная</t>
  </si>
  <si>
    <t>НДС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</si>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</sst>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;[Red]\-\ #,##0.00"/>
    <numFmt numFmtId="166" formatCode="#,##0;[Red]\-\ #,##0"/>
    <numFmt numFmtId="167" formatCode="#,##0.00#####;[Red]\-\ #,##0.00#####"/>
  </numFmts>
  <fonts count="25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Font="1"/>
    <xf numFmtId="0" fontId="14" fillId="0" borderId="0" xfId="0" applyFont="1"/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/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 wrapText="1"/>
    </xf>
    <xf numFmtId="0" fontId="11" fillId="0" borderId="2" xfId="0" applyFont="1" applyBorder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4" fontId="16" fillId="0" borderId="0" xfId="0" applyNumberFormat="1" applyFont="1"/>
    <xf numFmtId="0" fontId="13" fillId="0" borderId="0" xfId="0" applyFont="1"/>
    <xf numFmtId="0" fontId="10" fillId="0" borderId="0" xfId="0" applyFont="1" applyAlignment="1">
      <alignment horizontal="right"/>
    </xf>
    <xf numFmtId="0" fontId="17" fillId="0" borderId="0" xfId="0" applyFont="1"/>
    <xf numFmtId="164" fontId="16" fillId="0" borderId="0" xfId="0" applyNumberFormat="1" applyFont="1"/>
    <xf numFmtId="0" fontId="16" fillId="0" borderId="1" xfId="0" applyFont="1" applyBorder="1"/>
    <xf numFmtId="0" fontId="10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0" fillId="0" borderId="0" xfId="0" quotePrefix="1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right" vertical="top" wrapText="1"/>
    </xf>
    <xf numFmtId="165" fontId="20" fillId="0" borderId="0" xfId="0" applyNumberFormat="1" applyFont="1" applyAlignment="1">
      <alignment horizontal="right" vertical="top"/>
    </xf>
    <xf numFmtId="166" fontId="20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 wrapText="1"/>
    </xf>
    <xf numFmtId="166" fontId="21" fillId="0" borderId="0" xfId="0" applyNumberFormat="1" applyFont="1" applyAlignment="1">
      <alignment horizontal="right" vertical="top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right" vertical="top" wrapText="1"/>
    </xf>
    <xf numFmtId="0" fontId="20" fillId="0" borderId="1" xfId="0" applyFont="1" applyBorder="1" applyAlignment="1">
      <alignment horizontal="right" vertical="top"/>
    </xf>
    <xf numFmtId="165" fontId="20" fillId="0" borderId="1" xfId="0" applyNumberFormat="1" applyFont="1" applyBorder="1" applyAlignment="1">
      <alignment horizontal="right" vertical="top"/>
    </xf>
    <xf numFmtId="0" fontId="20" fillId="0" borderId="1" xfId="0" applyFont="1" applyBorder="1" applyAlignment="1">
      <alignment horizontal="right" vertical="top" wrapText="1"/>
    </xf>
    <xf numFmtId="166" fontId="20" fillId="0" borderId="1" xfId="0" applyNumberFormat="1" applyFont="1" applyBorder="1" applyAlignment="1">
      <alignment horizontal="right" vertical="top"/>
    </xf>
    <xf numFmtId="166" fontId="0" fillId="0" borderId="0" xfId="0" applyNumberFormat="1"/>
    <xf numFmtId="0" fontId="20" fillId="0" borderId="0" xfId="0" applyFont="1" applyAlignment="1">
      <alignment vertical="top"/>
    </xf>
    <xf numFmtId="166" fontId="22" fillId="0" borderId="2" xfId="0" applyNumberFormat="1" applyFont="1" applyBorder="1" applyAlignment="1">
      <alignment horizontal="right" vertical="top"/>
    </xf>
    <xf numFmtId="0" fontId="23" fillId="0" borderId="0" xfId="0" applyFont="1" applyAlignment="1">
      <alignment vertical="top" wrapText="1"/>
    </xf>
    <xf numFmtId="0" fontId="20" fillId="0" borderId="1" xfId="0" quotePrefix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/>
    </xf>
    <xf numFmtId="166" fontId="22" fillId="0" borderId="0" xfId="0" applyNumberFormat="1" applyFont="1" applyAlignment="1">
      <alignment horizontal="right" vertical="top"/>
    </xf>
    <xf numFmtId="165" fontId="22" fillId="0" borderId="0" xfId="0" applyNumberFormat="1" applyFont="1" applyAlignment="1">
      <alignment horizontal="right" vertical="top"/>
    </xf>
    <xf numFmtId="0" fontId="22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right" vertical="top"/>
    </xf>
    <xf numFmtId="165" fontId="22" fillId="0" borderId="2" xfId="0" applyNumberFormat="1" applyFont="1" applyBorder="1" applyAlignment="1">
      <alignment horizontal="right" vertical="top"/>
    </xf>
    <xf numFmtId="167" fontId="20" fillId="0" borderId="0" xfId="0" applyNumberFormat="1" applyFont="1" applyAlignment="1">
      <alignment horizontal="right" vertical="top"/>
    </xf>
    <xf numFmtId="165" fontId="10" fillId="0" borderId="0" xfId="0" applyNumberFormat="1" applyFont="1" applyAlignment="1">
      <alignment horizontal="right"/>
    </xf>
    <xf numFmtId="165" fontId="16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right"/>
    </xf>
    <xf numFmtId="9" fontId="0" fillId="0" borderId="0" xfId="0" applyNumberFormat="1"/>
    <xf numFmtId="4" fontId="0" fillId="0" borderId="0" xfId="0" applyNumberFormat="1"/>
    <xf numFmtId="0" fontId="22" fillId="0" borderId="0" xfId="0" applyFont="1"/>
    <xf numFmtId="9" fontId="22" fillId="0" borderId="0" xfId="0" applyNumberFormat="1" applyFont="1"/>
    <xf numFmtId="166" fontId="22" fillId="0" borderId="0" xfId="0" applyNumberFormat="1" applyFont="1"/>
    <xf numFmtId="0" fontId="16" fillId="0" borderId="0" xfId="0" applyFont="1" applyAlignment="1">
      <alignment horizontal="left" wrapText="1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1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165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6" fontId="22" fillId="0" borderId="0" xfId="0" applyNumberFormat="1" applyFont="1" applyAlignment="1">
      <alignment horizontal="left" vertical="top"/>
    </xf>
    <xf numFmtId="166" fontId="22" fillId="0" borderId="2" xfId="0" applyNumberFormat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20" fillId="0" borderId="0" xfId="0" applyFont="1" applyAlignment="1">
      <alignment horizontal="right" vertical="top" wrapText="1"/>
    </xf>
    <xf numFmtId="0" fontId="2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207"/>
  <sheetViews>
    <sheetView tabSelected="1" view="pageBreakPreview" topLeftCell="A104" zoomScaleNormal="100" zoomScaleSheetLayoutView="100" workbookViewId="0">
      <selection activeCell="CX194" sqref="CX194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1" width="0" hidden="1" customWidth="1"/>
  </cols>
  <sheetData>
    <row r="1" spans="1:93" x14ac:dyDescent="0.2">
      <c r="A1" s="8" t="str">
        <f>Source!B1</f>
        <v>Smeta.RU  (495) 974-1589</v>
      </c>
    </row>
    <row r="2" spans="1:93" ht="12.7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93" ht="16.5" hidden="1" customHeight="1" x14ac:dyDescent="0.25">
      <c r="A3" s="10"/>
      <c r="B3" s="85" t="s">
        <v>359</v>
      </c>
      <c r="C3" s="85"/>
      <c r="D3" s="85"/>
      <c r="E3" s="85"/>
      <c r="F3" s="11"/>
      <c r="G3" s="11"/>
      <c r="H3" s="85" t="s">
        <v>360</v>
      </c>
      <c r="I3" s="85"/>
      <c r="J3" s="85"/>
      <c r="K3" s="85"/>
      <c r="L3" s="85"/>
    </row>
    <row r="4" spans="1:93" ht="14.25" hidden="1" customHeight="1" x14ac:dyDescent="0.2">
      <c r="A4" s="11"/>
      <c r="B4" s="86"/>
      <c r="C4" s="86"/>
      <c r="D4" s="86"/>
      <c r="E4" s="86"/>
      <c r="F4" s="11"/>
      <c r="G4" s="11"/>
      <c r="H4" s="86"/>
      <c r="I4" s="86"/>
      <c r="J4" s="86"/>
      <c r="K4" s="86"/>
      <c r="L4" s="86"/>
    </row>
    <row r="5" spans="1:93" ht="14.25" hidden="1" customHeight="1" x14ac:dyDescent="0.2">
      <c r="A5" s="11"/>
      <c r="B5" s="11"/>
      <c r="C5" s="12"/>
      <c r="D5" s="12"/>
      <c r="E5" s="12"/>
      <c r="F5" s="11"/>
      <c r="G5" s="11"/>
      <c r="H5" s="12"/>
      <c r="I5" s="12"/>
      <c r="J5" s="12"/>
      <c r="K5" s="12"/>
      <c r="L5" s="12"/>
    </row>
    <row r="6" spans="1:93" ht="14.25" hidden="1" customHeight="1" x14ac:dyDescent="0.2">
      <c r="A6" s="12"/>
      <c r="B6" s="86" t="str">
        <f>CONCATENATE("______________________ ", IF(Source!AL12&lt;&gt;"", Source!AL12, ""))</f>
        <v xml:space="preserve">______________________ </v>
      </c>
      <c r="C6" s="86"/>
      <c r="D6" s="86"/>
      <c r="E6" s="86"/>
      <c r="F6" s="11"/>
      <c r="G6" s="11"/>
      <c r="H6" s="86" t="str">
        <f>CONCATENATE("______________________ ", IF(Source!AH12&lt;&gt;"", Source!AH12, ""))</f>
        <v xml:space="preserve">______________________ </v>
      </c>
      <c r="I6" s="86"/>
      <c r="J6" s="86"/>
      <c r="K6" s="86"/>
      <c r="L6" s="86"/>
    </row>
    <row r="7" spans="1:93" ht="14.25" hidden="1" customHeight="1" x14ac:dyDescent="0.2">
      <c r="A7" s="13"/>
      <c r="B7" s="82" t="s">
        <v>361</v>
      </c>
      <c r="C7" s="82"/>
      <c r="D7" s="82"/>
      <c r="E7" s="82"/>
      <c r="F7" s="11"/>
      <c r="G7" s="11"/>
      <c r="H7" s="82" t="s">
        <v>361</v>
      </c>
      <c r="I7" s="82"/>
      <c r="J7" s="82"/>
      <c r="K7" s="82"/>
      <c r="L7" s="82"/>
    </row>
    <row r="8" spans="1:93" hidden="1" x14ac:dyDescent="0.2"/>
    <row r="9" spans="1:93" hidden="1" x14ac:dyDescent="0.2"/>
    <row r="10" spans="1:93" ht="12.75" customHeight="1" x14ac:dyDescent="0.2">
      <c r="A10" s="83" t="s">
        <v>362</v>
      </c>
      <c r="B10" s="83"/>
      <c r="C10" s="83"/>
      <c r="D10" s="83"/>
      <c r="E10" s="83"/>
      <c r="F10" s="84" t="s">
        <v>398</v>
      </c>
      <c r="G10" s="84"/>
      <c r="H10" s="84"/>
      <c r="I10" s="84"/>
      <c r="J10" s="84"/>
      <c r="K10" s="84"/>
      <c r="L10" s="84"/>
    </row>
    <row r="11" spans="1:93" ht="12.75" customHeight="1" x14ac:dyDescent="0.2">
      <c r="A11" s="14"/>
      <c r="B11" s="14"/>
      <c r="C11" s="14"/>
      <c r="D11" s="14"/>
      <c r="E11" s="14"/>
      <c r="F11" s="18"/>
      <c r="G11" s="18"/>
      <c r="H11" s="18"/>
      <c r="I11" s="18"/>
      <c r="J11" s="18"/>
      <c r="K11" s="18"/>
      <c r="L11" s="18"/>
    </row>
    <row r="12" spans="1:93" ht="51" x14ac:dyDescent="0.2">
      <c r="A12" s="83" t="s">
        <v>363</v>
      </c>
      <c r="B12" s="83"/>
      <c r="C12" s="83"/>
      <c r="D12" s="83"/>
      <c r="E12" s="83"/>
      <c r="F12" s="84" t="str">
        <f>IF(Source!CQ12 &lt;&gt; "", Source!CQ12, "")</f>
        <v>ГОСУДАРСТВЕННЫЕ СМЕТНЫЕ НОРМАТИВЫ (ФЕР-2020), утвержденные приказами Минстроя России от 26 декабря 2019 г.   № 876/пр (в редакции приказов Минстроя РФ от 30 марта 2020 г. № 172/пр, от 1 июня 2020 г. № 294/пр, от 30 июня 2020 г. № 352/пр,   от 20 октября 2020 г. № 636/пр, от 9 февраля 2021 г. № 51/пр, от 24 мая 2021 г. № 321/пр, от 24 июня 2021 г. № 408/пр,  от 14 октября 2021 № 746/пр, от 20 декабря 2021 № 962/пр)</v>
      </c>
      <c r="G12" s="84"/>
      <c r="H12" s="84"/>
      <c r="I12" s="84"/>
      <c r="J12" s="84"/>
      <c r="K12" s="84"/>
      <c r="L12" s="84"/>
      <c r="CO12" s="16" t="str">
        <f>IF(Source!CQ12 &lt;&gt; "", Source!CQ12, "")</f>
        <v>ГОСУДАРСТВЕННЫЕ СМЕТНЫЕ НОРМАТИВЫ (ФЕР-2020), утвержденные приказами Минстроя России от 26 декабря 2019 г.   № 876/пр (в редакции приказов Минстроя РФ от 30 марта 2020 г. № 172/пр, от 1 июня 2020 г. № 294/пр, от 30 июня 2020 г. № 352/пр,   от 20 октября 2020 г. № 636/пр, от 9 февраля 2021 г. № 51/пр, от 24 мая 2021 г. № 321/пр, от 24 июня 2021 г. № 408/пр,  от 14 октября 2021 № 746/пр, от 20 декабря 2021 № 962/пр)</v>
      </c>
    </row>
    <row r="13" spans="1:93" ht="12.75" customHeight="1" x14ac:dyDescent="0.2">
      <c r="A13" s="14"/>
      <c r="B13" s="14"/>
      <c r="C13" s="14"/>
      <c r="D13" s="14"/>
      <c r="E13" s="14"/>
      <c r="F13" s="18"/>
      <c r="G13" s="18"/>
      <c r="H13" s="18"/>
      <c r="I13" s="18"/>
      <c r="J13" s="18"/>
      <c r="K13" s="18"/>
      <c r="L13" s="18"/>
    </row>
    <row r="14" spans="1:93" ht="12.75" customHeight="1" x14ac:dyDescent="0.2">
      <c r="A14" s="89" t="s">
        <v>364</v>
      </c>
      <c r="B14" s="89"/>
      <c r="C14" s="89"/>
      <c r="D14" s="89"/>
      <c r="E14" s="89"/>
      <c r="F14" s="84" t="str">
        <f>IF(Source!CV12 &lt;&gt; "", Source!CV12, "")</f>
        <v/>
      </c>
      <c r="G14" s="84"/>
      <c r="H14" s="84"/>
      <c r="I14" s="84"/>
      <c r="J14" s="84"/>
      <c r="K14" s="84"/>
      <c r="L14" s="84"/>
    </row>
    <row r="15" spans="1:93" ht="12.75" customHeight="1" x14ac:dyDescent="0.2">
      <c r="A15" s="14"/>
      <c r="B15" s="14"/>
      <c r="C15" s="14"/>
      <c r="D15" s="14"/>
      <c r="E15" s="14"/>
      <c r="F15" s="18"/>
      <c r="G15" s="18"/>
      <c r="H15" s="18"/>
      <c r="I15" s="18"/>
      <c r="J15" s="18"/>
      <c r="K15" s="18"/>
      <c r="L15" s="18"/>
    </row>
    <row r="16" spans="1:93" ht="76.5" customHeight="1" x14ac:dyDescent="0.2">
      <c r="A16" s="83" t="s">
        <v>365</v>
      </c>
      <c r="B16" s="83"/>
      <c r="C16" s="83"/>
      <c r="D16" s="83"/>
      <c r="E16" s="83"/>
      <c r="F16" s="84"/>
      <c r="G16" s="84"/>
      <c r="H16" s="84"/>
      <c r="I16" s="84"/>
      <c r="J16" s="84"/>
      <c r="K16" s="84"/>
      <c r="L16" s="84"/>
    </row>
    <row r="17" spans="1:12" ht="12.75" customHeight="1" x14ac:dyDescent="0.2">
      <c r="A17" s="14"/>
      <c r="B17" s="14"/>
      <c r="C17" s="14"/>
      <c r="D17" s="14"/>
      <c r="E17" s="14"/>
      <c r="F17" s="18"/>
      <c r="G17" s="18"/>
      <c r="H17" s="18"/>
      <c r="I17" s="18"/>
      <c r="J17" s="18"/>
      <c r="K17" s="18"/>
      <c r="L17" s="18"/>
    </row>
    <row r="18" spans="1:12" ht="38.25" customHeight="1" x14ac:dyDescent="0.2">
      <c r="A18" s="83" t="s">
        <v>366</v>
      </c>
      <c r="B18" s="83"/>
      <c r="C18" s="83"/>
      <c r="D18" s="83"/>
      <c r="E18" s="83"/>
      <c r="F18" s="84"/>
      <c r="G18" s="84"/>
      <c r="H18" s="84"/>
      <c r="I18" s="84"/>
      <c r="J18" s="84"/>
      <c r="K18" s="84"/>
      <c r="L18" s="84"/>
    </row>
    <row r="19" spans="1:12" ht="12.75" customHeight="1" x14ac:dyDescent="0.2">
      <c r="A19" s="15"/>
      <c r="B19" s="15"/>
      <c r="C19" s="15"/>
      <c r="D19" s="15"/>
      <c r="E19" s="15"/>
      <c r="F19" s="19"/>
      <c r="G19" s="19"/>
      <c r="H19" s="19"/>
      <c r="I19" s="19"/>
      <c r="J19" s="19"/>
      <c r="K19" s="19"/>
      <c r="L19" s="19"/>
    </row>
    <row r="20" spans="1:12" ht="12.75" customHeight="1" x14ac:dyDescent="0.2">
      <c r="A20" s="83" t="s">
        <v>367</v>
      </c>
      <c r="B20" s="83"/>
      <c r="C20" s="83"/>
      <c r="D20" s="83"/>
      <c r="E20" s="83"/>
      <c r="F20" s="84" t="str">
        <f>IF(Source!CZ12 &lt;&gt; "", Source!CZ12, "")</f>
        <v/>
      </c>
      <c r="G20" s="84"/>
      <c r="H20" s="84"/>
      <c r="I20" s="84"/>
      <c r="J20" s="84"/>
      <c r="K20" s="84"/>
      <c r="L20" s="84"/>
    </row>
    <row r="21" spans="1:12" ht="12.75" customHeight="1" x14ac:dyDescent="0.2">
      <c r="A21" s="15"/>
      <c r="B21" s="15"/>
      <c r="C21" s="15"/>
      <c r="D21" s="15"/>
      <c r="E21" s="15"/>
      <c r="F21" s="19"/>
      <c r="G21" s="19"/>
      <c r="H21" s="19"/>
      <c r="I21" s="19"/>
      <c r="J21" s="19"/>
      <c r="K21" s="19"/>
      <c r="L21" s="18"/>
    </row>
    <row r="22" spans="1:12" ht="12.75" customHeight="1" x14ac:dyDescent="0.2">
      <c r="A22" s="83" t="s">
        <v>368</v>
      </c>
      <c r="B22" s="83"/>
      <c r="C22" s="83"/>
      <c r="D22" s="83"/>
      <c r="E22" s="83"/>
      <c r="F22" s="84" t="str">
        <f>IF(Source!DA12 &lt;&gt; "", Source!DA12, "")</f>
        <v/>
      </c>
      <c r="G22" s="84"/>
      <c r="H22" s="84"/>
      <c r="I22" s="84"/>
      <c r="J22" s="84"/>
      <c r="K22" s="84"/>
      <c r="L22" s="84"/>
    </row>
    <row r="23" spans="1:12" ht="12.75" customHeight="1" x14ac:dyDescent="0.2">
      <c r="A23" s="9"/>
      <c r="B23" s="9"/>
      <c r="C23" s="9"/>
      <c r="D23" s="9"/>
      <c r="E23" s="9"/>
      <c r="F23" s="20"/>
      <c r="G23" s="20"/>
      <c r="H23" s="20"/>
      <c r="I23" s="20"/>
      <c r="J23" s="20"/>
      <c r="K23" s="20"/>
      <c r="L23" s="20"/>
    </row>
    <row r="24" spans="1:12" ht="12.7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15.75" customHeight="1" x14ac:dyDescent="0.2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</row>
    <row r="26" spans="1:12" ht="14.25" customHeight="1" x14ac:dyDescent="0.2">
      <c r="A26" s="88" t="s">
        <v>369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</row>
    <row r="27" spans="1:12" ht="14.2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ht="15.75" customHeight="1" x14ac:dyDescent="0.2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</row>
    <row r="29" spans="1:12" ht="14.25" customHeight="1" x14ac:dyDescent="0.2">
      <c r="A29" s="88" t="s">
        <v>370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</row>
    <row r="30" spans="1:12" ht="14.25" customHeight="1" x14ac:dyDescent="0.2">
      <c r="A30" s="11"/>
      <c r="B30" s="11"/>
      <c r="C30" s="11"/>
      <c r="D30" s="11"/>
      <c r="E30" s="11"/>
      <c r="F30" s="13"/>
      <c r="G30" s="13"/>
      <c r="H30" s="13"/>
      <c r="I30" s="13"/>
      <c r="J30" s="13"/>
      <c r="K30" s="13"/>
      <c r="L30" s="13"/>
    </row>
    <row r="31" spans="1:12" ht="15.75" customHeight="1" x14ac:dyDescent="0.25">
      <c r="A31" s="93" t="str">
        <f>CONCATENATE("ЛОКАЛЬНАЯ СМЕТА ")</f>
        <v xml:space="preserve">ЛОКАЛЬНАЯ СМЕТА 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</row>
    <row r="32" spans="1:12" ht="15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1"/>
    </row>
    <row r="33" spans="1:12" ht="18" customHeight="1" x14ac:dyDescent="0.25">
      <c r="A33" s="87" t="s">
        <v>458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</row>
    <row r="34" spans="1:12" ht="14.25" customHeight="1" x14ac:dyDescent="0.2">
      <c r="A34" s="88" t="s">
        <v>371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</row>
    <row r="35" spans="1:12" ht="14.25" customHeight="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ht="14.25" customHeight="1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ht="12.75" customHeight="1" x14ac:dyDescent="0.2">
      <c r="A37" s="17" t="s">
        <v>372</v>
      </c>
      <c r="B37" s="17"/>
      <c r="C37" s="23" t="s">
        <v>399</v>
      </c>
      <c r="D37" s="17" t="s">
        <v>373</v>
      </c>
      <c r="E37" s="17"/>
      <c r="F37" s="17"/>
      <c r="G37" s="17"/>
      <c r="H37" s="17"/>
      <c r="I37" s="17"/>
      <c r="J37" s="17"/>
      <c r="K37" s="17"/>
      <c r="L37" s="17"/>
    </row>
    <row r="38" spans="1:12" ht="12.75" customHeight="1" x14ac:dyDescent="0.2">
      <c r="A38" s="17"/>
      <c r="B38" s="17"/>
      <c r="C38" s="24"/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12.75" customHeight="1" x14ac:dyDescent="0.2">
      <c r="A39" s="17" t="s">
        <v>374</v>
      </c>
      <c r="B39" s="17"/>
      <c r="C39" s="94"/>
      <c r="D39" s="94"/>
      <c r="E39" s="94"/>
      <c r="F39" s="94"/>
      <c r="G39" s="94"/>
      <c r="H39" s="94"/>
      <c r="I39" s="94"/>
      <c r="J39" s="94"/>
      <c r="K39" s="94"/>
      <c r="L39" s="94"/>
    </row>
    <row r="40" spans="1:12" ht="14.25" customHeight="1" x14ac:dyDescent="0.2">
      <c r="A40" s="25"/>
      <c r="B40" s="26"/>
      <c r="C40" s="88" t="s">
        <v>375</v>
      </c>
      <c r="D40" s="88"/>
      <c r="E40" s="88"/>
      <c r="F40" s="88"/>
      <c r="G40" s="88"/>
      <c r="H40" s="88"/>
      <c r="I40" s="88"/>
      <c r="J40" s="88"/>
      <c r="K40" s="88"/>
      <c r="L40" s="88"/>
    </row>
    <row r="41" spans="1:12" ht="14.25" customHeight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14.25" customHeight="1" x14ac:dyDescent="0.2">
      <c r="A42" s="17" t="s">
        <v>400</v>
      </c>
      <c r="B42" s="11"/>
      <c r="C42" s="11"/>
      <c r="D42" s="27"/>
      <c r="E42" s="11"/>
      <c r="F42" s="11"/>
      <c r="G42" s="11"/>
      <c r="H42" s="11"/>
      <c r="I42" s="11"/>
      <c r="J42" s="11"/>
      <c r="K42" s="11"/>
      <c r="L42" s="11"/>
    </row>
    <row r="43" spans="1:12" ht="14.25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ht="14.25" customHeight="1" x14ac:dyDescent="0.2">
      <c r="A44" s="28" t="s">
        <v>376</v>
      </c>
      <c r="B44" s="11"/>
      <c r="C44" s="69">
        <f>C47+C48+C49+C50</f>
        <v>202.61</v>
      </c>
      <c r="D44" s="90">
        <f>D47+D48+D49+D50</f>
        <v>8.41</v>
      </c>
      <c r="E44" s="91"/>
      <c r="F44" s="17" t="s">
        <v>377</v>
      </c>
      <c r="G44" s="9"/>
      <c r="H44" s="9"/>
      <c r="I44" s="9"/>
      <c r="J44" s="9"/>
      <c r="K44" s="9"/>
      <c r="L44" s="11"/>
    </row>
    <row r="45" spans="1:12" ht="14.25" customHeight="1" x14ac:dyDescent="0.2">
      <c r="A45" s="28"/>
      <c r="B45" s="11"/>
      <c r="C45" s="69"/>
      <c r="D45" s="69"/>
      <c r="E45" s="29"/>
      <c r="F45" s="17"/>
      <c r="G45" s="9"/>
      <c r="H45" s="9"/>
      <c r="I45" s="9"/>
      <c r="J45" s="9"/>
      <c r="K45" s="9"/>
      <c r="L45" s="11"/>
    </row>
    <row r="46" spans="1:12" ht="14.25" customHeight="1" x14ac:dyDescent="0.2">
      <c r="A46" s="11"/>
      <c r="B46" s="30" t="s">
        <v>378</v>
      </c>
      <c r="C46" s="71"/>
      <c r="D46" s="70"/>
      <c r="E46" s="31"/>
      <c r="F46" s="17"/>
      <c r="G46" s="17" t="s">
        <v>379</v>
      </c>
      <c r="H46" s="11"/>
      <c r="I46" s="71">
        <f>ROUND((SUM(AR58:AR199))/1000, 2)</f>
        <v>40.32</v>
      </c>
      <c r="J46" s="71">
        <f>ROUND((SUM(S58:S199))/1000, 2)</f>
        <v>1.08</v>
      </c>
      <c r="K46" s="17" t="s">
        <v>377</v>
      </c>
      <c r="L46" s="11"/>
    </row>
    <row r="47" spans="1:12" ht="14.25" customHeight="1" x14ac:dyDescent="0.2">
      <c r="A47" s="11"/>
      <c r="B47" s="28" t="s">
        <v>380</v>
      </c>
      <c r="C47" s="69">
        <f>ROUND((ROUND(SUMIF(CD58:CD199, 1, AA58:AA199)*Source!D122, 0)+ROUND(SUMIF(CD58:CD199, 1, P58:P199)*Source!E122, 0)+ROUND(SUMIF(CD58:CD199, 1, AV58:AV199), 0)+ROUND(SUMIF(CD58:CD199, 1, S58:S199)*Source!G122, 0)+SUMIF(CD58:CD199, 1, BC58:BC199)+SUMIF(CD58:CD199, 1, BB58:BB199)+SUMIF(CD58:CD199, 1, AZ58:AZ199)+SUMIF(CD58:CD199, 1, BA58:BA199))/1000, 2)</f>
        <v>202.61</v>
      </c>
      <c r="D47" s="90">
        <f>ROUND((SUM(BH58:BH199)+SUMIF(CD58:CD199, 1, AG58:AG199)+SUMIF(CD58:CD199, 1, AF58:AF199))/1000, 2)</f>
        <v>8.41</v>
      </c>
      <c r="E47" s="91"/>
      <c r="F47" s="17" t="s">
        <v>377</v>
      </c>
      <c r="G47" s="17" t="s">
        <v>381</v>
      </c>
      <c r="H47" s="11"/>
      <c r="I47" s="17"/>
      <c r="J47" s="72">
        <f>Source!F57</f>
        <v>104.76445</v>
      </c>
      <c r="K47" s="17" t="s">
        <v>209</v>
      </c>
      <c r="L47" s="11"/>
    </row>
    <row r="48" spans="1:12" ht="14.25" customHeight="1" x14ac:dyDescent="0.2">
      <c r="A48" s="11"/>
      <c r="B48" s="28" t="s">
        <v>382</v>
      </c>
      <c r="C48" s="69">
        <f>ROUND((ROUND(SUMIF(CD58:CD199, 2, AA58:AA199)*Source!D122, 0)+ROUND(SUMIF(CD58:CD199, 2, P58:P199)*Source!E122, 0)+ROUND(SUMIF(CD58:CD199, 2, AV58:AV199), 0)+ROUND(SUMIF(CD58:CD199, 2, S58:S199)*Source!G122, 0)+SUMIF(CD58:CD199, 2, BC58:BC199)+SUMIF(CD58:CD199, 2, BB58:BB199)+SUMIF(CD58:CD199, 2, AZ58:AZ199)+SUMIF(CD58:CD199, 2, BA58:BA199))/1000, 2)</f>
        <v>0</v>
      </c>
      <c r="D48" s="90">
        <f>ROUND((SUM(BI58:BI199)+SUMIF(CD58:CD199, 2, AG58:AG199)+SUMIF(CD58:CD199, 2, AF58:AF199))/1000, 2)</f>
        <v>0</v>
      </c>
      <c r="E48" s="91"/>
      <c r="F48" s="17" t="s">
        <v>377</v>
      </c>
      <c r="G48" s="17" t="s">
        <v>383</v>
      </c>
      <c r="H48" s="11"/>
      <c r="I48" s="17"/>
      <c r="J48" s="72">
        <f>Source!F58</f>
        <v>39.34487</v>
      </c>
      <c r="K48" s="17" t="s">
        <v>209</v>
      </c>
      <c r="L48" s="11"/>
    </row>
    <row r="49" spans="1:12" ht="14.25" customHeight="1" x14ac:dyDescent="0.2">
      <c r="A49" s="11"/>
      <c r="B49" s="28" t="s">
        <v>384</v>
      </c>
      <c r="C49" s="69">
        <f>ROUND((ROUND(SUM(BJ58:BJ199)*Source!H122, 0)+SUMIF(CD58:CD199, 3, BD58:BD199)+SUMIF(CD58:CD199, 3, BB58:BB199))/1000, 2)</f>
        <v>0</v>
      </c>
      <c r="D49" s="90">
        <f>ROUND((SUM(BJ58:BJ199)+SUM(AH58:AH199))/1000, 2)</f>
        <v>0</v>
      </c>
      <c r="E49" s="91"/>
      <c r="F49" s="17" t="s">
        <v>377</v>
      </c>
      <c r="G49" s="17"/>
      <c r="H49" s="17"/>
      <c r="I49" s="17"/>
      <c r="J49" s="17"/>
      <c r="K49" s="17"/>
      <c r="L49" s="11"/>
    </row>
    <row r="50" spans="1:12" ht="14.25" customHeight="1" x14ac:dyDescent="0.2">
      <c r="A50" s="11"/>
      <c r="B50" s="28" t="s">
        <v>385</v>
      </c>
      <c r="C50" s="69">
        <f>ROUND((ROUND(SUM(BL58:BL199)*Source!I122, 0)+SUMIF(CD58:CD199, 4, BC58:BC199)+SUM(BR58:BR199)+ROUND(SUM(BN58:BN199)*Source!H122, 0)+SUMIF(CD58:CD199, 4, BB58:BB199))/1000, 2)</f>
        <v>0</v>
      </c>
      <c r="D50" s="90">
        <f>ROUND((SUM(BL58:BL199)+SUMIF(CD58:CD199, 4, AG58:AG199)+SUM(BM58:BM199)+SUM(BN58:BN199)+SUMIF(CD58:CD199, 4, AF58:AF199))/1000, 2)</f>
        <v>0</v>
      </c>
      <c r="E50" s="92"/>
      <c r="F50" s="17" t="s">
        <v>377</v>
      </c>
      <c r="G50" s="17"/>
      <c r="H50" s="17"/>
      <c r="I50" s="17"/>
      <c r="J50" s="17"/>
      <c r="K50" s="17"/>
      <c r="L50" s="11"/>
    </row>
    <row r="51" spans="1:12" ht="14.25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1:12" ht="12.75" customHeight="1" x14ac:dyDescent="0.2">
      <c r="A52" s="98" t="s">
        <v>386</v>
      </c>
      <c r="B52" s="98" t="s">
        <v>387</v>
      </c>
      <c r="C52" s="98" t="s">
        <v>388</v>
      </c>
      <c r="D52" s="98" t="s">
        <v>389</v>
      </c>
      <c r="E52" s="103" t="s">
        <v>390</v>
      </c>
      <c r="F52" s="104"/>
      <c r="G52" s="105"/>
      <c r="H52" s="103" t="s">
        <v>391</v>
      </c>
      <c r="I52" s="104"/>
      <c r="J52" s="112"/>
      <c r="K52" s="95" t="s">
        <v>392</v>
      </c>
      <c r="L52" s="98" t="s">
        <v>393</v>
      </c>
    </row>
    <row r="53" spans="1:12" ht="12.75" customHeight="1" x14ac:dyDescent="0.2">
      <c r="A53" s="99"/>
      <c r="B53" s="99"/>
      <c r="C53" s="99"/>
      <c r="D53" s="99"/>
      <c r="E53" s="106"/>
      <c r="F53" s="107"/>
      <c r="G53" s="108"/>
      <c r="H53" s="106"/>
      <c r="I53" s="107"/>
      <c r="J53" s="113"/>
      <c r="K53" s="96"/>
      <c r="L53" s="99"/>
    </row>
    <row r="54" spans="1:12" ht="12.75" customHeight="1" x14ac:dyDescent="0.2">
      <c r="A54" s="99"/>
      <c r="B54" s="99"/>
      <c r="C54" s="99"/>
      <c r="D54" s="99"/>
      <c r="E54" s="106"/>
      <c r="F54" s="107"/>
      <c r="G54" s="108"/>
      <c r="H54" s="106"/>
      <c r="I54" s="107"/>
      <c r="J54" s="113"/>
      <c r="K54" s="96"/>
      <c r="L54" s="99"/>
    </row>
    <row r="55" spans="1:12" ht="12.75" customHeight="1" x14ac:dyDescent="0.2">
      <c r="A55" s="99"/>
      <c r="B55" s="99"/>
      <c r="C55" s="99"/>
      <c r="D55" s="99"/>
      <c r="E55" s="109"/>
      <c r="F55" s="110"/>
      <c r="G55" s="111"/>
      <c r="H55" s="109"/>
      <c r="I55" s="110"/>
      <c r="J55" s="114"/>
      <c r="K55" s="96"/>
      <c r="L55" s="99"/>
    </row>
    <row r="56" spans="1:12" ht="25.5" customHeight="1" x14ac:dyDescent="0.2">
      <c r="A56" s="100"/>
      <c r="B56" s="100"/>
      <c r="C56" s="100"/>
      <c r="D56" s="100"/>
      <c r="E56" s="33" t="s">
        <v>394</v>
      </c>
      <c r="F56" s="33" t="s">
        <v>395</v>
      </c>
      <c r="G56" s="34" t="s">
        <v>396</v>
      </c>
      <c r="H56" s="33" t="s">
        <v>394</v>
      </c>
      <c r="I56" s="33" t="s">
        <v>395</v>
      </c>
      <c r="J56" s="35" t="s">
        <v>397</v>
      </c>
      <c r="K56" s="97"/>
      <c r="L56" s="100"/>
    </row>
    <row r="57" spans="1:12" ht="14.25" customHeight="1" x14ac:dyDescent="0.2">
      <c r="A57" s="36">
        <v>1</v>
      </c>
      <c r="B57" s="36">
        <v>2</v>
      </c>
      <c r="C57" s="36">
        <v>3</v>
      </c>
      <c r="D57" s="36">
        <v>4</v>
      </c>
      <c r="E57" s="36">
        <v>5</v>
      </c>
      <c r="F57" s="36">
        <v>6</v>
      </c>
      <c r="G57" s="36">
        <v>7</v>
      </c>
      <c r="H57" s="36">
        <v>8</v>
      </c>
      <c r="I57" s="36">
        <v>9</v>
      </c>
      <c r="J57" s="36">
        <v>10</v>
      </c>
      <c r="K57" s="37">
        <v>11</v>
      </c>
      <c r="L57" s="37">
        <v>12</v>
      </c>
    </row>
    <row r="58" spans="1:12" ht="42.75" x14ac:dyDescent="0.2">
      <c r="A58" s="38" t="s">
        <v>14</v>
      </c>
      <c r="B58" s="39" t="str">
        <f>Source!F24</f>
        <v>08-07-001-03</v>
      </c>
      <c r="C58" s="39" t="str">
        <f>Source!G24</f>
        <v>Установка и разборка наружных инвентарных лесов высотой до 16 м: подвесных</v>
      </c>
      <c r="D58" s="40" t="str">
        <f>Source!H24</f>
        <v>100 м2</v>
      </c>
      <c r="E58" s="41">
        <f>Source!K24</f>
        <v>2.5000000000000001E-2</v>
      </c>
      <c r="F58" s="41"/>
      <c r="G58" s="41">
        <f>Source!I24</f>
        <v>2.5000000000000001E-2</v>
      </c>
      <c r="H58" s="43"/>
      <c r="I58" s="42"/>
      <c r="J58" s="44"/>
      <c r="K58" s="42"/>
      <c r="L58" s="44"/>
    </row>
    <row r="59" spans="1:12" x14ac:dyDescent="0.2">
      <c r="C59" s="45" t="str">
        <f>"Объем: "&amp;Source!I24&amp;"=12/"&amp;"100"</f>
        <v>Объем: 0,025=12/100</v>
      </c>
    </row>
    <row r="60" spans="1:12" ht="14.25" x14ac:dyDescent="0.2">
      <c r="A60" s="39"/>
      <c r="B60" s="42">
        <v>1</v>
      </c>
      <c r="C60" s="39" t="s">
        <v>401</v>
      </c>
      <c r="D60" s="40"/>
      <c r="E60" s="41"/>
      <c r="F60" s="41"/>
      <c r="G60" s="41"/>
      <c r="H60" s="43">
        <f>Source!AO24</f>
        <v>563.33000000000004</v>
      </c>
      <c r="I60" s="42"/>
      <c r="J60" s="44">
        <f>ROUND(Source!AF24*Source!I24, 0)</f>
        <v>14</v>
      </c>
      <c r="K60" s="42">
        <f>IF(Source!BA24&lt;&gt; 0, Source!BA24, 1)</f>
        <v>37.299999999999997</v>
      </c>
      <c r="L60" s="44">
        <f>Source!HJ24</f>
        <v>522</v>
      </c>
    </row>
    <row r="61" spans="1:12" ht="14.25" x14ac:dyDescent="0.2">
      <c r="A61" s="39"/>
      <c r="B61" s="42">
        <v>2</v>
      </c>
      <c r="C61" s="39" t="s">
        <v>402</v>
      </c>
      <c r="D61" s="40"/>
      <c r="E61" s="41"/>
      <c r="F61" s="41"/>
      <c r="G61" s="41"/>
      <c r="H61" s="43">
        <f>Source!AM24</f>
        <v>5.26</v>
      </c>
      <c r="I61" s="42"/>
      <c r="J61" s="44">
        <f>ROUND((((Source!ET24)-(Source!EU24))+Source!AE24)*Source!I24, 0)</f>
        <v>0</v>
      </c>
      <c r="K61" s="42"/>
      <c r="L61" s="44"/>
    </row>
    <row r="62" spans="1:12" ht="14.25" x14ac:dyDescent="0.2">
      <c r="A62" s="39"/>
      <c r="B62" s="42">
        <v>3</v>
      </c>
      <c r="C62" s="39" t="s">
        <v>403</v>
      </c>
      <c r="D62" s="40"/>
      <c r="E62" s="41"/>
      <c r="F62" s="41"/>
      <c r="G62" s="41"/>
      <c r="H62" s="43">
        <f>Source!AN24</f>
        <v>0.93</v>
      </c>
      <c r="I62" s="42"/>
      <c r="J62" s="46">
        <f>ROUND(Source!AE24*Source!I24, 0)</f>
        <v>0</v>
      </c>
      <c r="K62" s="42">
        <f>IF(Source!BS24&lt;&gt; 0, Source!BS24, 1)</f>
        <v>37.299999999999997</v>
      </c>
      <c r="L62" s="46">
        <f>Source!HI24</f>
        <v>0</v>
      </c>
    </row>
    <row r="63" spans="1:12" ht="14.25" x14ac:dyDescent="0.2">
      <c r="A63" s="39"/>
      <c r="B63" s="42">
        <v>4</v>
      </c>
      <c r="C63" s="39" t="s">
        <v>404</v>
      </c>
      <c r="D63" s="40"/>
      <c r="E63" s="41"/>
      <c r="F63" s="41"/>
      <c r="G63" s="41"/>
      <c r="H63" s="43">
        <f>Source!AL24</f>
        <v>345.31</v>
      </c>
      <c r="I63" s="42"/>
      <c r="J63" s="44">
        <f>ROUND(Source!AC24*Source!I24, 0)</f>
        <v>9</v>
      </c>
      <c r="K63" s="42"/>
      <c r="L63" s="44"/>
    </row>
    <row r="64" spans="1:12" ht="14.25" x14ac:dyDescent="0.2">
      <c r="A64" s="39"/>
      <c r="B64" s="39"/>
      <c r="C64" s="39" t="s">
        <v>405</v>
      </c>
      <c r="D64" s="40" t="s">
        <v>209</v>
      </c>
      <c r="E64" s="41">
        <f>Source!AQ24</f>
        <v>65.2</v>
      </c>
      <c r="F64" s="41"/>
      <c r="G64" s="41">
        <f>ROUND(Source!U24, 7)</f>
        <v>1.63</v>
      </c>
      <c r="H64" s="43"/>
      <c r="I64" s="42"/>
      <c r="J64" s="44"/>
      <c r="K64" s="42"/>
      <c r="L64" s="44"/>
    </row>
    <row r="65" spans="1:82" ht="14.25" x14ac:dyDescent="0.2">
      <c r="A65" s="39"/>
      <c r="B65" s="39"/>
      <c r="C65" s="47" t="s">
        <v>406</v>
      </c>
      <c r="D65" s="48" t="s">
        <v>209</v>
      </c>
      <c r="E65" s="49">
        <f>Source!AR24</f>
        <v>0.08</v>
      </c>
      <c r="F65" s="49"/>
      <c r="G65" s="49">
        <f>ROUND(Source!V24, 7)</f>
        <v>2E-3</v>
      </c>
      <c r="H65" s="50"/>
      <c r="I65" s="51"/>
      <c r="J65" s="52"/>
      <c r="K65" s="51"/>
      <c r="L65" s="52"/>
    </row>
    <row r="66" spans="1:82" ht="14.25" x14ac:dyDescent="0.2">
      <c r="A66" s="39"/>
      <c r="B66" s="39"/>
      <c r="C66" s="39" t="s">
        <v>407</v>
      </c>
      <c r="D66" s="40"/>
      <c r="E66" s="41"/>
      <c r="F66" s="41"/>
      <c r="G66" s="41"/>
      <c r="H66" s="43">
        <f>H60+H61+H63</f>
        <v>913.90000000000009</v>
      </c>
      <c r="I66" s="42"/>
      <c r="J66" s="44">
        <f>J60+J61+J63</f>
        <v>23</v>
      </c>
      <c r="K66" s="42"/>
      <c r="L66" s="44"/>
    </row>
    <row r="67" spans="1:82" ht="14.25" x14ac:dyDescent="0.2">
      <c r="A67" s="39"/>
      <c r="B67" s="39"/>
      <c r="C67" s="39" t="s">
        <v>408</v>
      </c>
      <c r="D67" s="40"/>
      <c r="E67" s="41"/>
      <c r="F67" s="41"/>
      <c r="G67" s="41"/>
      <c r="H67" s="43"/>
      <c r="I67" s="42"/>
      <c r="J67" s="44">
        <f>SUM(S58:S70)+SUM(T58:T70)+SUM(X58:X70)+SUM(Y58:Y70)+SUM(Z58:Z70)</f>
        <v>14</v>
      </c>
      <c r="K67" s="42"/>
      <c r="L67" s="44">
        <f>SUM(AR58:AR70)+SUM(AS58:AS70)+SUM(AT58:AT70)+SUM(AU58:AU70)+SUM(AV58:AV70)</f>
        <v>522</v>
      </c>
    </row>
    <row r="68" spans="1:82" ht="14.25" x14ac:dyDescent="0.2">
      <c r="A68" s="39"/>
      <c r="B68" s="39" t="s">
        <v>22</v>
      </c>
      <c r="C68" s="39" t="s">
        <v>409</v>
      </c>
      <c r="D68" s="40" t="s">
        <v>410</v>
      </c>
      <c r="E68" s="41">
        <f>Source!BZ24</f>
        <v>110</v>
      </c>
      <c r="F68" s="41"/>
      <c r="G68" s="41">
        <f>Source!AT24</f>
        <v>110</v>
      </c>
      <c r="H68" s="43"/>
      <c r="I68" s="42"/>
      <c r="J68" s="44">
        <f>SUM(AD58:AD70)</f>
        <v>15</v>
      </c>
      <c r="K68" s="42"/>
      <c r="L68" s="44">
        <f>SUM(AZ58:AZ70)</f>
        <v>574</v>
      </c>
    </row>
    <row r="69" spans="1:82" ht="14.25" x14ac:dyDescent="0.2">
      <c r="A69" s="47"/>
      <c r="B69" s="47" t="s">
        <v>23</v>
      </c>
      <c r="C69" s="47" t="s">
        <v>411</v>
      </c>
      <c r="D69" s="48" t="s">
        <v>410</v>
      </c>
      <c r="E69" s="49">
        <f>Source!CA24</f>
        <v>69</v>
      </c>
      <c r="F69" s="49"/>
      <c r="G69" s="49">
        <f>Source!AU24</f>
        <v>69</v>
      </c>
      <c r="H69" s="50"/>
      <c r="I69" s="51"/>
      <c r="J69" s="52">
        <f>SUM(AE58:AE70)</f>
        <v>10</v>
      </c>
      <c r="K69" s="51"/>
      <c r="L69" s="52">
        <f>SUM(BA58:BA70)</f>
        <v>360</v>
      </c>
    </row>
    <row r="70" spans="1:82" ht="15" x14ac:dyDescent="0.2">
      <c r="C70" s="101" t="s">
        <v>412</v>
      </c>
      <c r="D70" s="101"/>
      <c r="E70" s="101"/>
      <c r="F70" s="101"/>
      <c r="G70" s="101"/>
      <c r="H70" s="101"/>
      <c r="I70" s="102">
        <f>J60+J61+J63+J68+J69</f>
        <v>48</v>
      </c>
      <c r="J70" s="102"/>
      <c r="O70" s="53">
        <f>J60+J61+J63+J68+J69</f>
        <v>48</v>
      </c>
      <c r="P70" s="53">
        <f>J61</f>
        <v>0</v>
      </c>
      <c r="R70" t="s">
        <v>413</v>
      </c>
      <c r="S70" s="53">
        <f>J60</f>
        <v>14</v>
      </c>
      <c r="U70" s="53">
        <f>J60</f>
        <v>14</v>
      </c>
      <c r="X70" s="53">
        <f>J62</f>
        <v>0</v>
      </c>
      <c r="Z70" t="s">
        <v>413</v>
      </c>
      <c r="AA70" s="53">
        <f>J63</f>
        <v>9</v>
      </c>
      <c r="AD70">
        <f>Source!X24</f>
        <v>15</v>
      </c>
      <c r="AE70">
        <f>Source!Y24</f>
        <v>10</v>
      </c>
      <c r="AN70" s="53">
        <f>L60+L61+L63+L68+L69</f>
        <v>1456</v>
      </c>
      <c r="AO70" s="53">
        <f>L61</f>
        <v>0</v>
      </c>
      <c r="AQ70" t="s">
        <v>413</v>
      </c>
      <c r="AR70" s="53">
        <f>L60</f>
        <v>522</v>
      </c>
      <c r="AT70" s="53">
        <f>L62</f>
        <v>0</v>
      </c>
      <c r="AV70" t="s">
        <v>413</v>
      </c>
      <c r="AW70" s="53">
        <f>L63</f>
        <v>0</v>
      </c>
      <c r="AZ70">
        <f>Source!HK24</f>
        <v>574</v>
      </c>
      <c r="BA70">
        <f>Source!HL24</f>
        <v>360</v>
      </c>
      <c r="BH70" s="53">
        <f>J60+J61+J63+J68+J69</f>
        <v>48</v>
      </c>
      <c r="CD70">
        <v>1</v>
      </c>
    </row>
    <row r="71" spans="1:82" ht="146.25" x14ac:dyDescent="0.2">
      <c r="A71" s="38" t="s">
        <v>24</v>
      </c>
      <c r="B71" s="39" t="str">
        <f>Source!F25</f>
        <v>08-07-001-04</v>
      </c>
      <c r="C71" s="39" t="s">
        <v>414</v>
      </c>
      <c r="D71" s="40" t="str">
        <f>Source!H25</f>
        <v>100 м2</v>
      </c>
      <c r="E71" s="41">
        <f>Source!K25</f>
        <v>2.5000000000000001E-2</v>
      </c>
      <c r="F71" s="41"/>
      <c r="G71" s="41">
        <f>Source!I25</f>
        <v>2.5000000000000001E-2</v>
      </c>
      <c r="H71" s="43"/>
      <c r="I71" s="42"/>
      <c r="J71" s="44"/>
      <c r="K71" s="42"/>
      <c r="L71" s="44"/>
    </row>
    <row r="72" spans="1:82" x14ac:dyDescent="0.2">
      <c r="C72" s="45" t="str">
        <f>"Объем: "&amp;Source!I25&amp;"=12/"&amp;"100"</f>
        <v>Объем: 0,025=12/100</v>
      </c>
    </row>
    <row r="73" spans="1:82" ht="14.25" x14ac:dyDescent="0.2">
      <c r="A73" s="39"/>
      <c r="B73" s="42">
        <v>1</v>
      </c>
      <c r="C73" s="39" t="s">
        <v>401</v>
      </c>
      <c r="D73" s="40"/>
      <c r="E73" s="41"/>
      <c r="F73" s="41"/>
      <c r="G73" s="41"/>
      <c r="H73" s="43">
        <f>Source!AO25</f>
        <v>57.02</v>
      </c>
      <c r="I73" s="42">
        <f>ROUND(2,7)</f>
        <v>2</v>
      </c>
      <c r="J73" s="44">
        <f>ROUND(Source!AF25*Source!I25, 0)</f>
        <v>3</v>
      </c>
      <c r="K73" s="42">
        <f>IF(Source!BA25&lt;&gt; 0, Source!BA25, 1)</f>
        <v>37.299999999999997</v>
      </c>
      <c r="L73" s="44">
        <f>Source!HJ25</f>
        <v>112</v>
      </c>
    </row>
    <row r="74" spans="1:82" ht="14.25" x14ac:dyDescent="0.2">
      <c r="A74" s="39"/>
      <c r="B74" s="39"/>
      <c r="C74" s="47" t="s">
        <v>405</v>
      </c>
      <c r="D74" s="48" t="s">
        <v>209</v>
      </c>
      <c r="E74" s="49">
        <f>Source!AQ25</f>
        <v>6.6</v>
      </c>
      <c r="F74" s="49">
        <f>ROUND(2,7)</f>
        <v>2</v>
      </c>
      <c r="G74" s="49">
        <f>ROUND(Source!U25, 7)</f>
        <v>0.33</v>
      </c>
      <c r="H74" s="50"/>
      <c r="I74" s="51"/>
      <c r="J74" s="52"/>
      <c r="K74" s="51"/>
      <c r="L74" s="52"/>
    </row>
    <row r="75" spans="1:82" ht="14.25" x14ac:dyDescent="0.2">
      <c r="A75" s="39"/>
      <c r="B75" s="39"/>
      <c r="C75" s="39" t="s">
        <v>407</v>
      </c>
      <c r="D75" s="40"/>
      <c r="E75" s="41"/>
      <c r="F75" s="41"/>
      <c r="G75" s="41"/>
      <c r="H75" s="43">
        <f>H73</f>
        <v>57.02</v>
      </c>
      <c r="I75" s="42"/>
      <c r="J75" s="44">
        <f>J73</f>
        <v>3</v>
      </c>
      <c r="K75" s="42"/>
      <c r="L75" s="44"/>
    </row>
    <row r="76" spans="1:82" ht="14.25" x14ac:dyDescent="0.2">
      <c r="A76" s="39"/>
      <c r="B76" s="39"/>
      <c r="C76" s="39" t="s">
        <v>408</v>
      </c>
      <c r="D76" s="40"/>
      <c r="E76" s="41"/>
      <c r="F76" s="41"/>
      <c r="G76" s="41"/>
      <c r="H76" s="43"/>
      <c r="I76" s="42"/>
      <c r="J76" s="44">
        <f>SUM(S71:S79)+SUM(T71:T79)+SUM(X71:X79)+SUM(Y71:Y79)+SUM(Z71:Z79)</f>
        <v>3</v>
      </c>
      <c r="K76" s="42"/>
      <c r="L76" s="44">
        <f>SUM(AR71:AR79)+SUM(AS71:AS79)+SUM(AT71:AT79)+SUM(AU71:AU79)+SUM(AV71:AV79)</f>
        <v>112</v>
      </c>
    </row>
    <row r="77" spans="1:82" ht="14.25" x14ac:dyDescent="0.2">
      <c r="A77" s="39"/>
      <c r="B77" s="39" t="s">
        <v>22</v>
      </c>
      <c r="C77" s="39" t="s">
        <v>409</v>
      </c>
      <c r="D77" s="40" t="s">
        <v>410</v>
      </c>
      <c r="E77" s="41">
        <f>Source!BZ25</f>
        <v>110</v>
      </c>
      <c r="F77" s="41"/>
      <c r="G77" s="41">
        <f>Source!AT25</f>
        <v>110</v>
      </c>
      <c r="H77" s="43"/>
      <c r="I77" s="42"/>
      <c r="J77" s="44">
        <f>SUM(AD71:AD79)</f>
        <v>3</v>
      </c>
      <c r="K77" s="42"/>
      <c r="L77" s="44">
        <f>SUM(AZ71:AZ79)</f>
        <v>123</v>
      </c>
    </row>
    <row r="78" spans="1:82" ht="14.25" x14ac:dyDescent="0.2">
      <c r="A78" s="47"/>
      <c r="B78" s="47" t="s">
        <v>23</v>
      </c>
      <c r="C78" s="47" t="s">
        <v>411</v>
      </c>
      <c r="D78" s="48" t="s">
        <v>410</v>
      </c>
      <c r="E78" s="49">
        <f>Source!CA25</f>
        <v>69</v>
      </c>
      <c r="F78" s="49"/>
      <c r="G78" s="49">
        <f>Source!AU25</f>
        <v>69</v>
      </c>
      <c r="H78" s="50"/>
      <c r="I78" s="51"/>
      <c r="J78" s="52">
        <f>SUM(AE71:AE79)</f>
        <v>2</v>
      </c>
      <c r="K78" s="51"/>
      <c r="L78" s="52">
        <f>SUM(BA71:BA79)</f>
        <v>77</v>
      </c>
    </row>
    <row r="79" spans="1:82" ht="15" x14ac:dyDescent="0.2">
      <c r="C79" s="101" t="s">
        <v>412</v>
      </c>
      <c r="D79" s="101"/>
      <c r="E79" s="101"/>
      <c r="F79" s="101"/>
      <c r="G79" s="101"/>
      <c r="H79" s="101"/>
      <c r="I79" s="102">
        <f>J73+J77+J78</f>
        <v>8</v>
      </c>
      <c r="J79" s="102"/>
      <c r="O79" s="53">
        <f>J73+J77+J78</f>
        <v>8</v>
      </c>
      <c r="P79">
        <f>0</f>
        <v>0</v>
      </c>
      <c r="R79" t="s">
        <v>413</v>
      </c>
      <c r="S79" s="53">
        <f>J73</f>
        <v>3</v>
      </c>
      <c r="U79" s="53">
        <f>J73</f>
        <v>3</v>
      </c>
      <c r="X79">
        <f>0</f>
        <v>0</v>
      </c>
      <c r="Z79" t="s">
        <v>413</v>
      </c>
      <c r="AA79">
        <f>0</f>
        <v>0</v>
      </c>
      <c r="AD79">
        <f>Source!X25</f>
        <v>3</v>
      </c>
      <c r="AE79">
        <f>Source!Y25</f>
        <v>2</v>
      </c>
      <c r="AN79" s="53">
        <f>L73+L77+L78</f>
        <v>312</v>
      </c>
      <c r="AO79">
        <f>0</f>
        <v>0</v>
      </c>
      <c r="AQ79" t="s">
        <v>413</v>
      </c>
      <c r="AR79" s="53">
        <f>L73</f>
        <v>112</v>
      </c>
      <c r="AT79">
        <f>0</f>
        <v>0</v>
      </c>
      <c r="AV79" t="s">
        <v>413</v>
      </c>
      <c r="AW79">
        <f>0</f>
        <v>0</v>
      </c>
      <c r="AZ79">
        <f>Source!HK25</f>
        <v>123</v>
      </c>
      <c r="BA79">
        <f>Source!HL25</f>
        <v>77</v>
      </c>
      <c r="BH79" s="53">
        <f>J73+J77+J78</f>
        <v>8</v>
      </c>
      <c r="CD79">
        <v>1</v>
      </c>
    </row>
    <row r="80" spans="1:82" ht="42.75" x14ac:dyDescent="0.2">
      <c r="A80" s="38" t="s">
        <v>29</v>
      </c>
      <c r="B80" s="39" t="str">
        <f>Source!F26</f>
        <v>09-06-033-04</v>
      </c>
      <c r="C80" s="39" t="str">
        <f>Source!G26</f>
        <v>Монтаж опор отдельно стоящих башенного и портального типов высотой до 45 м (демонтаж)</v>
      </c>
      <c r="D80" s="40" t="str">
        <f>Source!H26</f>
        <v>т</v>
      </c>
      <c r="E80" s="41">
        <f>Source!K26</f>
        <v>5.91</v>
      </c>
      <c r="F80" s="41"/>
      <c r="G80" s="41">
        <f>Source!I26</f>
        <v>5.91</v>
      </c>
      <c r="H80" s="43"/>
      <c r="I80" s="42"/>
      <c r="J80" s="44"/>
      <c r="K80" s="42"/>
      <c r="L80" s="44"/>
    </row>
    <row r="81" spans="1:82" x14ac:dyDescent="0.2">
      <c r="B81" s="56" t="s">
        <v>347</v>
      </c>
      <c r="C81" s="119" t="s">
        <v>415</v>
      </c>
      <c r="D81" s="119"/>
      <c r="E81" s="119"/>
      <c r="F81" s="119"/>
      <c r="G81" s="119"/>
      <c r="H81" s="119"/>
      <c r="I81" s="119"/>
      <c r="J81" s="119"/>
      <c r="K81" s="119"/>
      <c r="L81" s="119"/>
    </row>
    <row r="82" spans="1:82" ht="14.25" x14ac:dyDescent="0.2">
      <c r="A82" s="39"/>
      <c r="B82" s="42">
        <v>1</v>
      </c>
      <c r="C82" s="39" t="s">
        <v>401</v>
      </c>
      <c r="D82" s="40"/>
      <c r="E82" s="41"/>
      <c r="F82" s="41"/>
      <c r="G82" s="41"/>
      <c r="H82" s="43">
        <f>Source!AO26</f>
        <v>257.2</v>
      </c>
      <c r="I82" s="42">
        <f>ROUND(0.7,7)</f>
        <v>0.7</v>
      </c>
      <c r="J82" s="44">
        <f>ROUND(Source!AF26*Source!I26, 0)</f>
        <v>1064</v>
      </c>
      <c r="K82" s="42">
        <f>IF(Source!BA26&lt;&gt; 0, Source!BA26, 1)</f>
        <v>37.299999999999997</v>
      </c>
      <c r="L82" s="44">
        <f>Source!HJ26</f>
        <v>39687</v>
      </c>
    </row>
    <row r="83" spans="1:82" ht="14.25" x14ac:dyDescent="0.2">
      <c r="A83" s="39"/>
      <c r="B83" s="42">
        <v>2</v>
      </c>
      <c r="C83" s="39" t="s">
        <v>402</v>
      </c>
      <c r="D83" s="40"/>
      <c r="E83" s="41"/>
      <c r="F83" s="41"/>
      <c r="G83" s="41"/>
      <c r="H83" s="43">
        <f>Source!AM26</f>
        <v>1133.3599999999999</v>
      </c>
      <c r="I83" s="42">
        <f>ROUND(0.7,7)</f>
        <v>0.7</v>
      </c>
      <c r="J83" s="44">
        <f>ROUND(((((Source!ET26*ROUND(0.7,7)))-((Source!EU26*ROUND(0.7,7))))+Source!AE26)*Source!I26, 0)</f>
        <v>4689</v>
      </c>
      <c r="K83" s="42"/>
      <c r="L83" s="44"/>
    </row>
    <row r="84" spans="1:82" ht="14.25" x14ac:dyDescent="0.2">
      <c r="A84" s="39"/>
      <c r="B84" s="42">
        <v>3</v>
      </c>
      <c r="C84" s="39" t="s">
        <v>403</v>
      </c>
      <c r="D84" s="40"/>
      <c r="E84" s="41"/>
      <c r="F84" s="41"/>
      <c r="G84" s="41"/>
      <c r="H84" s="43">
        <f>Source!AN26</f>
        <v>128.19999999999999</v>
      </c>
      <c r="I84" s="42">
        <f>ROUND(0.7,7)</f>
        <v>0.7</v>
      </c>
      <c r="J84" s="46">
        <f>ROUND(Source!AE26*Source!I26, 0)</f>
        <v>530</v>
      </c>
      <c r="K84" s="42">
        <f>IF(Source!BS26&lt;&gt; 0, Source!BS26, 1)</f>
        <v>37.299999999999997</v>
      </c>
      <c r="L84" s="46">
        <f>Source!HI26</f>
        <v>19769</v>
      </c>
    </row>
    <row r="85" spans="1:82" ht="14.25" x14ac:dyDescent="0.2">
      <c r="A85" s="39"/>
      <c r="B85" s="42">
        <v>4</v>
      </c>
      <c r="C85" s="39" t="s">
        <v>404</v>
      </c>
      <c r="D85" s="40"/>
      <c r="E85" s="41"/>
      <c r="F85" s="41"/>
      <c r="G85" s="41"/>
      <c r="H85" s="43">
        <f>Source!AL26</f>
        <v>110.2</v>
      </c>
      <c r="I85" s="42">
        <f>ROUND(0,7)</f>
        <v>0</v>
      </c>
      <c r="J85" s="44">
        <f>ROUND(Source!AC26*Source!I26, 0)</f>
        <v>0</v>
      </c>
      <c r="K85" s="42"/>
      <c r="L85" s="44"/>
    </row>
    <row r="86" spans="1:82" ht="14.25" x14ac:dyDescent="0.2">
      <c r="A86" s="39"/>
      <c r="B86" s="39" t="str">
        <f>EtalonRes!I25</f>
        <v>07.2.07.13</v>
      </c>
      <c r="C86" s="39" t="str">
        <f>EtalonRes!K25</f>
        <v>Конструкции стальные</v>
      </c>
      <c r="D86" s="40" t="str">
        <f>EtalonRes!O25</f>
        <v>т</v>
      </c>
      <c r="E86" s="41">
        <f>EtalonRes!X25</f>
        <v>1</v>
      </c>
      <c r="F86" s="41">
        <f>ROUND(0,7)</f>
        <v>0</v>
      </c>
      <c r="G86" s="41">
        <f>ROUND(EtalonRes!AG25*Source!I26, 7)</f>
        <v>0</v>
      </c>
      <c r="H86" s="43"/>
      <c r="I86" s="42"/>
      <c r="J86" s="44"/>
      <c r="K86" s="42"/>
      <c r="L86" s="44"/>
    </row>
    <row r="87" spans="1:82" ht="14.25" x14ac:dyDescent="0.2">
      <c r="A87" s="39"/>
      <c r="B87" s="39"/>
      <c r="C87" s="39" t="s">
        <v>405</v>
      </c>
      <c r="D87" s="40" t="s">
        <v>209</v>
      </c>
      <c r="E87" s="41">
        <f>Source!AQ26</f>
        <v>24.85</v>
      </c>
      <c r="F87" s="41">
        <f>ROUND(0.7,7)</f>
        <v>0.7</v>
      </c>
      <c r="G87" s="41">
        <f>ROUND(Source!U26, 7)</f>
        <v>102.80445</v>
      </c>
      <c r="H87" s="43"/>
      <c r="I87" s="42"/>
      <c r="J87" s="44"/>
      <c r="K87" s="42"/>
      <c r="L87" s="44"/>
    </row>
    <row r="88" spans="1:82" ht="14.25" x14ac:dyDescent="0.2">
      <c r="A88" s="39"/>
      <c r="B88" s="39"/>
      <c r="C88" s="47" t="s">
        <v>406</v>
      </c>
      <c r="D88" s="48" t="s">
        <v>209</v>
      </c>
      <c r="E88" s="49">
        <f>Source!AR26</f>
        <v>9.51</v>
      </c>
      <c r="F88" s="49">
        <f>ROUND(0.7,7)</f>
        <v>0.7</v>
      </c>
      <c r="G88" s="49">
        <f>ROUND(Source!V26, 7)</f>
        <v>39.342869999999998</v>
      </c>
      <c r="H88" s="50"/>
      <c r="I88" s="51"/>
      <c r="J88" s="52"/>
      <c r="K88" s="51"/>
      <c r="L88" s="52"/>
    </row>
    <row r="89" spans="1:82" ht="14.25" x14ac:dyDescent="0.2">
      <c r="A89" s="39"/>
      <c r="B89" s="39"/>
      <c r="C89" s="39" t="s">
        <v>407</v>
      </c>
      <c r="D89" s="40"/>
      <c r="E89" s="41"/>
      <c r="F89" s="41"/>
      <c r="G89" s="41"/>
      <c r="H89" s="43">
        <f>H82+H83+H85</f>
        <v>1500.76</v>
      </c>
      <c r="I89" s="42"/>
      <c r="J89" s="44">
        <f>J82+J83+J85</f>
        <v>5753</v>
      </c>
      <c r="K89" s="42"/>
      <c r="L89" s="44"/>
    </row>
    <row r="90" spans="1:82" ht="14.25" x14ac:dyDescent="0.2">
      <c r="A90" s="39"/>
      <c r="B90" s="39"/>
      <c r="C90" s="39" t="s">
        <v>408</v>
      </c>
      <c r="D90" s="40"/>
      <c r="E90" s="41"/>
      <c r="F90" s="41"/>
      <c r="G90" s="41"/>
      <c r="H90" s="43"/>
      <c r="I90" s="42"/>
      <c r="J90" s="44">
        <f>SUM(S80:S93)+SUM(T80:T93)+SUM(X80:X93)+SUM(Y80:Y93)+SUM(Z80:Z93)</f>
        <v>1594</v>
      </c>
      <c r="K90" s="42"/>
      <c r="L90" s="44">
        <f>SUM(AR80:AR93)+SUM(AS80:AS93)+SUM(AT80:AT93)+SUM(AU80:AU93)+SUM(AV80:AV93)</f>
        <v>59456</v>
      </c>
    </row>
    <row r="91" spans="1:82" ht="28.5" x14ac:dyDescent="0.2">
      <c r="A91" s="39"/>
      <c r="B91" s="39" t="s">
        <v>40</v>
      </c>
      <c r="C91" s="39" t="s">
        <v>416</v>
      </c>
      <c r="D91" s="40" t="s">
        <v>410</v>
      </c>
      <c r="E91" s="41">
        <f>Source!BZ26</f>
        <v>93</v>
      </c>
      <c r="F91" s="41"/>
      <c r="G91" s="41">
        <f>Source!AT26</f>
        <v>93</v>
      </c>
      <c r="H91" s="43"/>
      <c r="I91" s="42"/>
      <c r="J91" s="44">
        <f>SUM(AD80:AD93)</f>
        <v>1482</v>
      </c>
      <c r="K91" s="42"/>
      <c r="L91" s="44">
        <f>SUM(AZ80:AZ93)</f>
        <v>55294</v>
      </c>
    </row>
    <row r="92" spans="1:82" ht="28.5" x14ac:dyDescent="0.2">
      <c r="A92" s="47"/>
      <c r="B92" s="47" t="s">
        <v>41</v>
      </c>
      <c r="C92" s="47" t="s">
        <v>417</v>
      </c>
      <c r="D92" s="48" t="s">
        <v>410</v>
      </c>
      <c r="E92" s="49">
        <f>Source!CA26</f>
        <v>62</v>
      </c>
      <c r="F92" s="49"/>
      <c r="G92" s="49">
        <f>Source!AU26</f>
        <v>62</v>
      </c>
      <c r="H92" s="50"/>
      <c r="I92" s="51"/>
      <c r="J92" s="52">
        <f>SUM(AE80:AE93)</f>
        <v>988</v>
      </c>
      <c r="K92" s="51"/>
      <c r="L92" s="52">
        <f>SUM(BA80:BA93)</f>
        <v>36863</v>
      </c>
    </row>
    <row r="93" spans="1:82" ht="15" x14ac:dyDescent="0.2">
      <c r="C93" s="101" t="s">
        <v>412</v>
      </c>
      <c r="D93" s="101"/>
      <c r="E93" s="101"/>
      <c r="F93" s="101"/>
      <c r="G93" s="101"/>
      <c r="H93" s="101"/>
      <c r="I93" s="102">
        <f>J82+J83+J85+J91+J92</f>
        <v>8223</v>
      </c>
      <c r="J93" s="102"/>
      <c r="O93" s="53">
        <f>J82+J83+J85+J91+J92</f>
        <v>8223</v>
      </c>
      <c r="P93" s="53">
        <f>J83</f>
        <v>4689</v>
      </c>
      <c r="R93" t="s">
        <v>413</v>
      </c>
      <c r="S93" s="53">
        <f>J82</f>
        <v>1064</v>
      </c>
      <c r="U93" s="53">
        <f>J82</f>
        <v>1064</v>
      </c>
      <c r="X93" s="53">
        <f>J84</f>
        <v>530</v>
      </c>
      <c r="Z93" t="s">
        <v>413</v>
      </c>
      <c r="AA93" s="53">
        <f>J85</f>
        <v>0</v>
      </c>
      <c r="AD93">
        <f>Source!X26</f>
        <v>1482</v>
      </c>
      <c r="AE93">
        <f>Source!Y26</f>
        <v>988</v>
      </c>
      <c r="AN93" s="53">
        <f>L82+L83+L85+L91+L92</f>
        <v>131844</v>
      </c>
      <c r="AO93" s="53">
        <f>L83</f>
        <v>0</v>
      </c>
      <c r="AQ93" t="s">
        <v>413</v>
      </c>
      <c r="AR93" s="53">
        <f>L82</f>
        <v>39687</v>
      </c>
      <c r="AT93" s="53">
        <f>L84</f>
        <v>19769</v>
      </c>
      <c r="AV93" t="s">
        <v>413</v>
      </c>
      <c r="AW93" s="53">
        <f>L85</f>
        <v>0</v>
      </c>
      <c r="AZ93">
        <f>Source!HK26</f>
        <v>55294</v>
      </c>
      <c r="BA93">
        <f>Source!HL26</f>
        <v>36863</v>
      </c>
      <c r="BH93" s="53">
        <f>J82+J83+J85+J91+J92</f>
        <v>8223</v>
      </c>
      <c r="CD93">
        <v>1</v>
      </c>
    </row>
    <row r="94" spans="1:82" ht="42.75" x14ac:dyDescent="0.2">
      <c r="A94" s="57" t="s">
        <v>46</v>
      </c>
      <c r="B94" s="47" t="str">
        <f>Source!F28</f>
        <v>т01-01-01-030</v>
      </c>
      <c r="C94" s="47" t="str">
        <f>Source!G28</f>
        <v>Погрузка при автомобильных перевозках труб металлических с применением автомобильных кранов</v>
      </c>
      <c r="D94" s="48" t="str">
        <f>Source!H28</f>
        <v>1 Т ГРУЗА</v>
      </c>
      <c r="E94" s="49">
        <f>Source!K28</f>
        <v>5.91</v>
      </c>
      <c r="F94" s="49"/>
      <c r="G94" s="49">
        <f>Source!I28</f>
        <v>5.91</v>
      </c>
      <c r="H94" s="50">
        <f>Source!AK28</f>
        <v>10.130000000000001</v>
      </c>
      <c r="I94" s="51"/>
      <c r="J94" s="52">
        <f>ROUND(Source!AB28*Source!I28, 0)</f>
        <v>60</v>
      </c>
      <c r="K94" s="51">
        <f>Source!AZ28</f>
        <v>14.38</v>
      </c>
      <c r="L94" s="52">
        <f>Source!HR28</f>
        <v>863</v>
      </c>
    </row>
    <row r="95" spans="1:82" ht="15" x14ac:dyDescent="0.2">
      <c r="C95" s="101" t="s">
        <v>412</v>
      </c>
      <c r="D95" s="101"/>
      <c r="E95" s="101"/>
      <c r="F95" s="101"/>
      <c r="G95" s="101"/>
      <c r="H95" s="101"/>
      <c r="I95" s="102">
        <f>J94</f>
        <v>60</v>
      </c>
      <c r="J95" s="102"/>
      <c r="K95" s="102">
        <f>L94</f>
        <v>863</v>
      </c>
      <c r="L95" s="102"/>
      <c r="O95" s="53">
        <f>J94</f>
        <v>60</v>
      </c>
      <c r="Q95">
        <f>0</f>
        <v>0</v>
      </c>
      <c r="R95" t="s">
        <v>413</v>
      </c>
      <c r="T95">
        <f>0</f>
        <v>0</v>
      </c>
      <c r="U95">
        <f>0</f>
        <v>0</v>
      </c>
      <c r="Y95">
        <f>0</f>
        <v>0</v>
      </c>
      <c r="Z95" t="s">
        <v>413</v>
      </c>
      <c r="AD95">
        <f>Source!X28</f>
        <v>0</v>
      </c>
      <c r="AE95">
        <f>Source!Y28</f>
        <v>0</v>
      </c>
      <c r="AF95" s="53">
        <f>J94</f>
        <v>60</v>
      </c>
      <c r="AN95" s="53">
        <f>L94</f>
        <v>863</v>
      </c>
      <c r="AP95">
        <f>0</f>
        <v>0</v>
      </c>
      <c r="AQ95" t="s">
        <v>413</v>
      </c>
      <c r="AS95">
        <f>0</f>
        <v>0</v>
      </c>
      <c r="AU95">
        <f>0</f>
        <v>0</v>
      </c>
      <c r="AV95" t="s">
        <v>413</v>
      </c>
      <c r="AZ95">
        <f>Source!HK28</f>
        <v>0</v>
      </c>
      <c r="BA95">
        <f>Source!HL28</f>
        <v>0</v>
      </c>
      <c r="BB95" s="53">
        <f>L94</f>
        <v>863</v>
      </c>
      <c r="CD95">
        <v>1</v>
      </c>
    </row>
    <row r="96" spans="1:82" ht="57" x14ac:dyDescent="0.2">
      <c r="A96" s="57" t="s">
        <v>53</v>
      </c>
      <c r="B96" s="47" t="str">
        <f>Source!F29</f>
        <v>т03-01-01-010</v>
      </c>
      <c r="C96" s="47" t="str">
        <f>Source!G29</f>
        <v>Перевозка грузов I класса автомобилями бортовыми грузоподъемностью до 15 т на расстояние до 10 км</v>
      </c>
      <c r="D96" s="48" t="str">
        <f>Source!H29</f>
        <v>1 Т ГРУЗА</v>
      </c>
      <c r="E96" s="49">
        <f>Source!K29</f>
        <v>5.91</v>
      </c>
      <c r="F96" s="49"/>
      <c r="G96" s="49">
        <f>Source!I29</f>
        <v>5.91</v>
      </c>
      <c r="H96" s="50">
        <f>Source!AK29</f>
        <v>12.65</v>
      </c>
      <c r="I96" s="51"/>
      <c r="J96" s="52">
        <f>ROUND(Source!AB29*Source!I29, 0)</f>
        <v>75</v>
      </c>
      <c r="K96" s="51">
        <f>Source!AZ29</f>
        <v>14.38</v>
      </c>
      <c r="L96" s="52">
        <f>Source!HR29</f>
        <v>1079</v>
      </c>
    </row>
    <row r="97" spans="1:82" ht="15" x14ac:dyDescent="0.2">
      <c r="C97" s="101" t="s">
        <v>412</v>
      </c>
      <c r="D97" s="101"/>
      <c r="E97" s="101"/>
      <c r="F97" s="101"/>
      <c r="G97" s="101"/>
      <c r="H97" s="101"/>
      <c r="I97" s="102">
        <f>J96</f>
        <v>75</v>
      </c>
      <c r="J97" s="102"/>
      <c r="K97" s="102">
        <f>L96</f>
        <v>1079</v>
      </c>
      <c r="L97" s="102"/>
      <c r="O97" s="53">
        <f>J96</f>
        <v>75</v>
      </c>
      <c r="Q97">
        <f>0</f>
        <v>0</v>
      </c>
      <c r="R97" t="s">
        <v>413</v>
      </c>
      <c r="T97">
        <f>0</f>
        <v>0</v>
      </c>
      <c r="U97">
        <f>0</f>
        <v>0</v>
      </c>
      <c r="Y97">
        <f>0</f>
        <v>0</v>
      </c>
      <c r="Z97" t="s">
        <v>413</v>
      </c>
      <c r="AD97">
        <f>Source!X29</f>
        <v>0</v>
      </c>
      <c r="AE97">
        <f>Source!Y29</f>
        <v>0</v>
      </c>
      <c r="AF97" s="53">
        <f>J96</f>
        <v>75</v>
      </c>
      <c r="AN97" s="53">
        <f>L96</f>
        <v>1079</v>
      </c>
      <c r="AP97">
        <f>0</f>
        <v>0</v>
      </c>
      <c r="AQ97" t="s">
        <v>413</v>
      </c>
      <c r="AS97">
        <f>0</f>
        <v>0</v>
      </c>
      <c r="AU97">
        <f>0</f>
        <v>0</v>
      </c>
      <c r="AV97" t="s">
        <v>413</v>
      </c>
      <c r="AZ97">
        <f>Source!HK29</f>
        <v>0</v>
      </c>
      <c r="BA97">
        <f>Source!HL29</f>
        <v>0</v>
      </c>
      <c r="BB97" s="53">
        <f>L96</f>
        <v>1079</v>
      </c>
      <c r="CD97">
        <v>1</v>
      </c>
    </row>
    <row r="99" spans="1:82" ht="15" x14ac:dyDescent="0.2">
      <c r="A99" s="64"/>
      <c r="B99" s="65"/>
      <c r="C99" s="115" t="s">
        <v>418</v>
      </c>
      <c r="D99" s="115"/>
      <c r="E99" s="115"/>
      <c r="F99" s="115"/>
      <c r="G99" s="115"/>
      <c r="H99" s="115"/>
      <c r="I99" s="66"/>
      <c r="J99" s="55"/>
      <c r="K99" s="67"/>
      <c r="L99" s="55"/>
    </row>
    <row r="101" spans="1:82" ht="15" x14ac:dyDescent="0.2">
      <c r="A101" s="59"/>
      <c r="B101" s="60"/>
      <c r="C101" s="116" t="s">
        <v>419</v>
      </c>
      <c r="D101" s="116"/>
      <c r="E101" s="116"/>
      <c r="F101" s="116"/>
      <c r="G101" s="116"/>
      <c r="H101" s="116"/>
      <c r="I101" s="61"/>
      <c r="J101" s="62">
        <f>J103+J118+J119</f>
        <v>8414</v>
      </c>
      <c r="K101" s="63"/>
      <c r="L101" s="62">
        <f>L103+L118+L119</f>
        <v>202605</v>
      </c>
    </row>
    <row r="102" spans="1:82" ht="14.25" x14ac:dyDescent="0.2">
      <c r="A102" s="54"/>
      <c r="B102" s="58"/>
      <c r="C102" s="117" t="s">
        <v>420</v>
      </c>
      <c r="D102" s="118"/>
      <c r="E102" s="118"/>
      <c r="F102" s="118"/>
      <c r="G102" s="118"/>
      <c r="H102" s="118"/>
      <c r="I102" s="41"/>
      <c r="J102" s="44"/>
      <c r="K102" s="43"/>
      <c r="L102" s="44"/>
    </row>
    <row r="103" spans="1:82" ht="14.25" x14ac:dyDescent="0.2">
      <c r="A103" s="54"/>
      <c r="B103" s="58"/>
      <c r="C103" s="118" t="s">
        <v>421</v>
      </c>
      <c r="D103" s="118"/>
      <c r="E103" s="118"/>
      <c r="F103" s="118"/>
      <c r="G103" s="118"/>
      <c r="H103" s="118"/>
      <c r="I103" s="41"/>
      <c r="J103" s="44">
        <f>J105+J106+J112+J116</f>
        <v>5914</v>
      </c>
      <c r="K103" s="43"/>
      <c r="L103" s="44">
        <f>L105+L106+L112+L116</f>
        <v>109314</v>
      </c>
    </row>
    <row r="104" spans="1:82" ht="14.25" x14ac:dyDescent="0.2">
      <c r="A104" s="54"/>
      <c r="B104" s="58"/>
      <c r="C104" s="117" t="s">
        <v>420</v>
      </c>
      <c r="D104" s="118"/>
      <c r="E104" s="118"/>
      <c r="F104" s="118"/>
      <c r="G104" s="118"/>
      <c r="H104" s="118"/>
      <c r="I104" s="41"/>
      <c r="J104" s="44"/>
      <c r="K104" s="43"/>
      <c r="L104" s="44"/>
    </row>
    <row r="105" spans="1:82" ht="14.25" x14ac:dyDescent="0.2">
      <c r="A105" s="54"/>
      <c r="B105" s="58"/>
      <c r="C105" s="118" t="s">
        <v>422</v>
      </c>
      <c r="D105" s="118"/>
      <c r="E105" s="118"/>
      <c r="F105" s="118"/>
      <c r="G105" s="118"/>
      <c r="H105" s="118"/>
      <c r="I105" s="41"/>
      <c r="J105" s="44">
        <f>SUMIF(CD58:CD97, 1, S58:S97)</f>
        <v>1081</v>
      </c>
      <c r="K105" s="43"/>
      <c r="L105" s="44">
        <f>SUMIF(CD58:CD97, 1, AR58:AR97)</f>
        <v>40321</v>
      </c>
    </row>
    <row r="106" spans="1:82" ht="14.25" x14ac:dyDescent="0.2">
      <c r="A106" s="54"/>
      <c r="B106" s="58"/>
      <c r="C106" s="118" t="s">
        <v>423</v>
      </c>
      <c r="D106" s="118"/>
      <c r="E106" s="118"/>
      <c r="F106" s="118"/>
      <c r="G106" s="118"/>
      <c r="H106" s="118"/>
      <c r="I106" s="41"/>
      <c r="J106" s="44">
        <f>J108+J111</f>
        <v>4689</v>
      </c>
      <c r="K106" s="43"/>
      <c r="L106" s="44">
        <f>L108+L111</f>
        <v>66959</v>
      </c>
    </row>
    <row r="107" spans="1:82" ht="14.25" x14ac:dyDescent="0.2">
      <c r="A107" s="54"/>
      <c r="B107" s="58"/>
      <c r="C107" s="117" t="s">
        <v>424</v>
      </c>
      <c r="D107" s="118"/>
      <c r="E107" s="118"/>
      <c r="F107" s="118"/>
      <c r="G107" s="118"/>
      <c r="H107" s="118"/>
      <c r="I107" s="41"/>
      <c r="J107" s="44"/>
      <c r="K107" s="43"/>
      <c r="L107" s="44"/>
    </row>
    <row r="108" spans="1:82" ht="14.25" x14ac:dyDescent="0.2">
      <c r="A108" s="54"/>
      <c r="B108" s="58" t="str">
        <f>Source!V122</f>
        <v/>
      </c>
      <c r="C108" s="118" t="s">
        <v>425</v>
      </c>
      <c r="D108" s="118"/>
      <c r="E108" s="118"/>
      <c r="F108" s="118"/>
      <c r="G108" s="118"/>
      <c r="H108" s="118"/>
      <c r="I108" s="41"/>
      <c r="J108" s="44">
        <f>SUMIF(CD58:CD97, 1, P58:P97)</f>
        <v>4689</v>
      </c>
      <c r="K108" s="43">
        <f>Source!E122</f>
        <v>14.28</v>
      </c>
      <c r="L108" s="44">
        <f>ROUND(J108*Source!E122, 0)</f>
        <v>66959</v>
      </c>
    </row>
    <row r="109" spans="1:82" ht="14.25" x14ac:dyDescent="0.2">
      <c r="A109" s="54"/>
      <c r="B109" s="58"/>
      <c r="C109" s="117" t="s">
        <v>426</v>
      </c>
      <c r="D109" s="118"/>
      <c r="E109" s="118"/>
      <c r="F109" s="118"/>
      <c r="G109" s="118"/>
      <c r="H109" s="118"/>
      <c r="I109" s="41"/>
      <c r="J109" s="44"/>
      <c r="K109" s="43"/>
      <c r="L109" s="44"/>
    </row>
    <row r="110" spans="1:82" ht="14.25" x14ac:dyDescent="0.2">
      <c r="A110" s="54"/>
      <c r="B110" s="58"/>
      <c r="C110" s="118" t="s">
        <v>427</v>
      </c>
      <c r="D110" s="118"/>
      <c r="E110" s="118"/>
      <c r="F110" s="118"/>
      <c r="G110" s="118"/>
      <c r="H110" s="118"/>
      <c r="I110" s="41"/>
      <c r="J110" s="44">
        <f>SUMIF(CD58:CD97, 1, X58:X97)</f>
        <v>530</v>
      </c>
      <c r="K110" s="43"/>
      <c r="L110" s="44">
        <f>SUMIF(CD58:CD97, 1, AT58:AT97)</f>
        <v>19769</v>
      </c>
    </row>
    <row r="111" spans="1:82" ht="14.25" hidden="1" x14ac:dyDescent="0.2">
      <c r="A111" s="54"/>
      <c r="B111" s="58"/>
      <c r="C111" s="118" t="s">
        <v>428</v>
      </c>
      <c r="D111" s="118"/>
      <c r="E111" s="118"/>
      <c r="F111" s="118"/>
      <c r="G111" s="118"/>
      <c r="H111" s="118"/>
      <c r="I111" s="41"/>
      <c r="J111" s="44">
        <f>SUMIF(CD58:CD97, 1, Z58:Z97)</f>
        <v>0</v>
      </c>
      <c r="K111" s="43"/>
      <c r="L111" s="44">
        <f>SUMIF(CD58:CD97, 1, AV58:AV97)</f>
        <v>0</v>
      </c>
    </row>
    <row r="112" spans="1:82" ht="14.25" x14ac:dyDescent="0.2">
      <c r="A112" s="54"/>
      <c r="B112" s="58"/>
      <c r="C112" s="118" t="s">
        <v>429</v>
      </c>
      <c r="D112" s="118"/>
      <c r="E112" s="118"/>
      <c r="F112" s="118"/>
      <c r="G112" s="118"/>
      <c r="H112" s="118"/>
      <c r="I112" s="41"/>
      <c r="J112" s="44">
        <f>J114+J115</f>
        <v>9</v>
      </c>
      <c r="K112" s="43"/>
      <c r="L112" s="44">
        <f>L114+L115</f>
        <v>92</v>
      </c>
    </row>
    <row r="113" spans="1:12" ht="14.25" x14ac:dyDescent="0.2">
      <c r="A113" s="54"/>
      <c r="B113" s="58"/>
      <c r="C113" s="117" t="s">
        <v>424</v>
      </c>
      <c r="D113" s="118"/>
      <c r="E113" s="118"/>
      <c r="F113" s="118"/>
      <c r="G113" s="118"/>
      <c r="H113" s="118"/>
      <c r="I113" s="41"/>
      <c r="J113" s="44"/>
      <c r="K113" s="43"/>
      <c r="L113" s="44"/>
    </row>
    <row r="114" spans="1:12" ht="14.25" x14ac:dyDescent="0.2">
      <c r="A114" s="54"/>
      <c r="B114" s="58" t="str">
        <f>Source!U122</f>
        <v/>
      </c>
      <c r="C114" s="118" t="s">
        <v>430</v>
      </c>
      <c r="D114" s="118"/>
      <c r="E114" s="118"/>
      <c r="F114" s="118"/>
      <c r="G114" s="118"/>
      <c r="H114" s="118"/>
      <c r="I114" s="41"/>
      <c r="J114" s="44">
        <f>SUMIF(CD58:CD97, 1, AA58:AA97)-SUMIF(CD58:CD97, 1, BJ58:BJ97)</f>
        <v>9</v>
      </c>
      <c r="K114" s="43">
        <f>Source!D122</f>
        <v>10.19</v>
      </c>
      <c r="L114" s="44">
        <f>ROUND(J114*Source!D122, 0)</f>
        <v>92</v>
      </c>
    </row>
    <row r="115" spans="1:12" ht="14.25" hidden="1" x14ac:dyDescent="0.2">
      <c r="A115" s="54"/>
      <c r="B115" s="58"/>
      <c r="C115" s="118" t="s">
        <v>431</v>
      </c>
      <c r="D115" s="118"/>
      <c r="E115" s="118"/>
      <c r="F115" s="118"/>
      <c r="G115" s="118"/>
      <c r="H115" s="118"/>
      <c r="I115" s="41"/>
      <c r="J115" s="44">
        <f>SUMIF(CD58:CD97, 1, AG58:AG97)</f>
        <v>0</v>
      </c>
      <c r="K115" s="43"/>
      <c r="L115" s="44">
        <f>SUMIF(CD58:CD97, 1, BC58:BC97)</f>
        <v>0</v>
      </c>
    </row>
    <row r="116" spans="1:12" ht="14.25" x14ac:dyDescent="0.2">
      <c r="A116" s="54"/>
      <c r="B116" s="58"/>
      <c r="C116" s="118" t="s">
        <v>432</v>
      </c>
      <c r="D116" s="118"/>
      <c r="E116" s="118"/>
      <c r="F116" s="118"/>
      <c r="G116" s="118"/>
      <c r="H116" s="118"/>
      <c r="I116" s="41"/>
      <c r="J116" s="44">
        <f>SUMIF(CD58:CD97, 1, AF58:AF97)</f>
        <v>135</v>
      </c>
      <c r="K116" s="43"/>
      <c r="L116" s="44">
        <f>SUMIF(CD58:CD97, 1, BB58:BB97)</f>
        <v>1942</v>
      </c>
    </row>
    <row r="117" spans="1:12" ht="14.25" x14ac:dyDescent="0.2">
      <c r="A117" s="54"/>
      <c r="B117" s="58"/>
      <c r="C117" s="118" t="s">
        <v>433</v>
      </c>
      <c r="D117" s="118"/>
      <c r="E117" s="118"/>
      <c r="F117" s="118"/>
      <c r="G117" s="118"/>
      <c r="H117" s="118"/>
      <c r="I117" s="41"/>
      <c r="J117" s="44">
        <f>SUMIF(CD58:CD97, 1, S58:S97)+SUMIF(CD58:CD97, 1, X58:X97)+SUMIF(CD58:CD97, 1, Z58:Z97)</f>
        <v>1611</v>
      </c>
      <c r="K117" s="43"/>
      <c r="L117" s="44">
        <f>SUMIF(CD58:CD97, 1, AR58:AR97)+SUMIF(CD58:CD97, 1, AT58:AT97)+SUMIF(CD58:CD97, 1, AV58:AV97)</f>
        <v>60090</v>
      </c>
    </row>
    <row r="118" spans="1:12" ht="14.25" x14ac:dyDescent="0.2">
      <c r="A118" s="54"/>
      <c r="B118" s="58"/>
      <c r="C118" s="118" t="s">
        <v>434</v>
      </c>
      <c r="D118" s="118"/>
      <c r="E118" s="118"/>
      <c r="F118" s="118"/>
      <c r="G118" s="118"/>
      <c r="H118" s="118"/>
      <c r="I118" s="41"/>
      <c r="J118" s="44">
        <f>SUMIF(CD58:CD97, 1, AD58:AD97)</f>
        <v>1500</v>
      </c>
      <c r="K118" s="43"/>
      <c r="L118" s="44">
        <f>SUMIF(CD58:CD97, 1, AZ58:AZ97)</f>
        <v>55991</v>
      </c>
    </row>
    <row r="119" spans="1:12" ht="14.25" x14ac:dyDescent="0.2">
      <c r="A119" s="54"/>
      <c r="B119" s="58"/>
      <c r="C119" s="118" t="s">
        <v>435</v>
      </c>
      <c r="D119" s="118"/>
      <c r="E119" s="118"/>
      <c r="F119" s="118"/>
      <c r="G119" s="118"/>
      <c r="H119" s="118"/>
      <c r="I119" s="41"/>
      <c r="J119" s="44">
        <f>SUMIF(CD58:CD97, 1, AE58:AE97)</f>
        <v>1000</v>
      </c>
      <c r="K119" s="43"/>
      <c r="L119" s="44">
        <f>SUMIF(CD58:CD97, 1, BA58:BA97)</f>
        <v>37300</v>
      </c>
    </row>
    <row r="120" spans="1:12" hidden="1" x14ac:dyDescent="0.2"/>
    <row r="121" spans="1:12" ht="15" hidden="1" x14ac:dyDescent="0.2">
      <c r="A121" s="59"/>
      <c r="B121" s="60"/>
      <c r="C121" s="116" t="s">
        <v>436</v>
      </c>
      <c r="D121" s="116"/>
      <c r="E121" s="116"/>
      <c r="F121" s="116"/>
      <c r="G121" s="116"/>
      <c r="H121" s="116"/>
      <c r="I121" s="61"/>
      <c r="J121" s="62">
        <f>J123+J138+J139</f>
        <v>0</v>
      </c>
      <c r="K121" s="63"/>
      <c r="L121" s="62">
        <f>L123+L138+L139</f>
        <v>0</v>
      </c>
    </row>
    <row r="122" spans="1:12" ht="14.25" hidden="1" x14ac:dyDescent="0.2">
      <c r="A122" s="54"/>
      <c r="B122" s="58"/>
      <c r="C122" s="117" t="s">
        <v>420</v>
      </c>
      <c r="D122" s="118"/>
      <c r="E122" s="118"/>
      <c r="F122" s="118"/>
      <c r="G122" s="118"/>
      <c r="H122" s="118"/>
      <c r="I122" s="41"/>
      <c r="J122" s="44"/>
      <c r="K122" s="43"/>
      <c r="L122" s="44"/>
    </row>
    <row r="123" spans="1:12" ht="14.25" hidden="1" x14ac:dyDescent="0.2">
      <c r="A123" s="54"/>
      <c r="B123" s="58"/>
      <c r="C123" s="118" t="s">
        <v>421</v>
      </c>
      <c r="D123" s="118"/>
      <c r="E123" s="118"/>
      <c r="F123" s="118"/>
      <c r="G123" s="118"/>
      <c r="H123" s="118"/>
      <c r="I123" s="41"/>
      <c r="J123" s="44">
        <f>J125+J126+J132+J136</f>
        <v>0</v>
      </c>
      <c r="K123" s="43"/>
      <c r="L123" s="44">
        <f>L125+L126+L132+L136</f>
        <v>0</v>
      </c>
    </row>
    <row r="124" spans="1:12" ht="14.25" hidden="1" x14ac:dyDescent="0.2">
      <c r="A124" s="54"/>
      <c r="B124" s="58"/>
      <c r="C124" s="117" t="s">
        <v>420</v>
      </c>
      <c r="D124" s="118"/>
      <c r="E124" s="118"/>
      <c r="F124" s="118"/>
      <c r="G124" s="118"/>
      <c r="H124" s="118"/>
      <c r="I124" s="41"/>
      <c r="J124" s="44"/>
      <c r="K124" s="43"/>
      <c r="L124" s="44"/>
    </row>
    <row r="125" spans="1:12" ht="14.25" hidden="1" x14ac:dyDescent="0.2">
      <c r="A125" s="54"/>
      <c r="B125" s="58"/>
      <c r="C125" s="118" t="s">
        <v>422</v>
      </c>
      <c r="D125" s="118"/>
      <c r="E125" s="118"/>
      <c r="F125" s="118"/>
      <c r="G125" s="118"/>
      <c r="H125" s="118"/>
      <c r="I125" s="41"/>
      <c r="J125" s="44">
        <f>SUMIF(CD58:CD119, 2, S58:S119)</f>
        <v>0</v>
      </c>
      <c r="K125" s="43"/>
      <c r="L125" s="44">
        <f>SUMIF(CD58:CD119, 2, AR58:AR119)</f>
        <v>0</v>
      </c>
    </row>
    <row r="126" spans="1:12" ht="14.25" hidden="1" x14ac:dyDescent="0.2">
      <c r="A126" s="54"/>
      <c r="B126" s="58"/>
      <c r="C126" s="118" t="s">
        <v>423</v>
      </c>
      <c r="D126" s="118"/>
      <c r="E126" s="118"/>
      <c r="F126" s="118"/>
      <c r="G126" s="118"/>
      <c r="H126" s="118"/>
      <c r="I126" s="41"/>
      <c r="J126" s="44">
        <f>J128+J131</f>
        <v>0</v>
      </c>
      <c r="K126" s="43"/>
      <c r="L126" s="44">
        <f>L128+L131</f>
        <v>0</v>
      </c>
    </row>
    <row r="127" spans="1:12" ht="14.25" hidden="1" x14ac:dyDescent="0.2">
      <c r="A127" s="54"/>
      <c r="B127" s="58"/>
      <c r="C127" s="117" t="s">
        <v>424</v>
      </c>
      <c r="D127" s="118"/>
      <c r="E127" s="118"/>
      <c r="F127" s="118"/>
      <c r="G127" s="118"/>
      <c r="H127" s="118"/>
      <c r="I127" s="41"/>
      <c r="J127" s="44"/>
      <c r="K127" s="43"/>
      <c r="L127" s="44"/>
    </row>
    <row r="128" spans="1:12" ht="14.25" hidden="1" x14ac:dyDescent="0.2">
      <c r="A128" s="54"/>
      <c r="B128" s="58" t="str">
        <f>Source!V122</f>
        <v/>
      </c>
      <c r="C128" s="118" t="s">
        <v>425</v>
      </c>
      <c r="D128" s="118"/>
      <c r="E128" s="118"/>
      <c r="F128" s="118"/>
      <c r="G128" s="118"/>
      <c r="H128" s="118"/>
      <c r="I128" s="41"/>
      <c r="J128" s="44">
        <f>SUMIF(CD58:CD119, 2, P58:P119)</f>
        <v>0</v>
      </c>
      <c r="K128" s="43">
        <f>Source!E122</f>
        <v>14.28</v>
      </c>
      <c r="L128" s="44">
        <f>ROUND(J128*Source!E122, 0)</f>
        <v>0</v>
      </c>
    </row>
    <row r="129" spans="1:12" ht="14.25" hidden="1" x14ac:dyDescent="0.2">
      <c r="A129" s="54"/>
      <c r="B129" s="58"/>
      <c r="C129" s="117" t="s">
        <v>426</v>
      </c>
      <c r="D129" s="118"/>
      <c r="E129" s="118"/>
      <c r="F129" s="118"/>
      <c r="G129" s="118"/>
      <c r="H129" s="118"/>
      <c r="I129" s="41"/>
      <c r="J129" s="44"/>
      <c r="K129" s="43"/>
      <c r="L129" s="44"/>
    </row>
    <row r="130" spans="1:12" ht="14.25" hidden="1" x14ac:dyDescent="0.2">
      <c r="A130" s="54"/>
      <c r="B130" s="58"/>
      <c r="C130" s="118" t="s">
        <v>427</v>
      </c>
      <c r="D130" s="118"/>
      <c r="E130" s="118"/>
      <c r="F130" s="118"/>
      <c r="G130" s="118"/>
      <c r="H130" s="118"/>
      <c r="I130" s="41"/>
      <c r="J130" s="44">
        <f>SUMIF(CD58:CD119, 2, X58:X119)</f>
        <v>0</v>
      </c>
      <c r="K130" s="43"/>
      <c r="L130" s="44">
        <f>SUMIF(CD58:CD119, 2, AT58:AT119)</f>
        <v>0</v>
      </c>
    </row>
    <row r="131" spans="1:12" ht="14.25" hidden="1" x14ac:dyDescent="0.2">
      <c r="A131" s="54"/>
      <c r="B131" s="58"/>
      <c r="C131" s="118" t="s">
        <v>428</v>
      </c>
      <c r="D131" s="118"/>
      <c r="E131" s="118"/>
      <c r="F131" s="118"/>
      <c r="G131" s="118"/>
      <c r="H131" s="118"/>
      <c r="I131" s="41"/>
      <c r="J131" s="44">
        <f>SUMIF(CD58:CD119, 2, Z58:Z119)</f>
        <v>0</v>
      </c>
      <c r="K131" s="43"/>
      <c r="L131" s="44">
        <f>SUMIF(CD58:CD119, 2, AV58:AV119)</f>
        <v>0</v>
      </c>
    </row>
    <row r="132" spans="1:12" ht="14.25" hidden="1" x14ac:dyDescent="0.2">
      <c r="A132" s="54"/>
      <c r="B132" s="58"/>
      <c r="C132" s="118" t="s">
        <v>429</v>
      </c>
      <c r="D132" s="118"/>
      <c r="E132" s="118"/>
      <c r="F132" s="118"/>
      <c r="G132" s="118"/>
      <c r="H132" s="118"/>
      <c r="I132" s="41"/>
      <c r="J132" s="44">
        <f>J134+J135</f>
        <v>0</v>
      </c>
      <c r="K132" s="43"/>
      <c r="L132" s="44">
        <f>L134+L135</f>
        <v>0</v>
      </c>
    </row>
    <row r="133" spans="1:12" ht="14.25" hidden="1" x14ac:dyDescent="0.2">
      <c r="A133" s="54"/>
      <c r="B133" s="58"/>
      <c r="C133" s="117" t="s">
        <v>424</v>
      </c>
      <c r="D133" s="118"/>
      <c r="E133" s="118"/>
      <c r="F133" s="118"/>
      <c r="G133" s="118"/>
      <c r="H133" s="118"/>
      <c r="I133" s="41"/>
      <c r="J133" s="44"/>
      <c r="K133" s="43"/>
      <c r="L133" s="44"/>
    </row>
    <row r="134" spans="1:12" ht="14.25" hidden="1" x14ac:dyDescent="0.2">
      <c r="A134" s="54"/>
      <c r="B134" s="58" t="str">
        <f>Source!U122</f>
        <v/>
      </c>
      <c r="C134" s="118" t="s">
        <v>430</v>
      </c>
      <c r="D134" s="118"/>
      <c r="E134" s="118"/>
      <c r="F134" s="118"/>
      <c r="G134" s="118"/>
      <c r="H134" s="118"/>
      <c r="I134" s="41"/>
      <c r="J134" s="44">
        <f>SUMIF(CD58:CD119, 2, AA58:AA119)-SUMIF(CD58:CD119, 2, BJ58:BJ119)</f>
        <v>0</v>
      </c>
      <c r="K134" s="43">
        <f>Source!D122</f>
        <v>10.19</v>
      </c>
      <c r="L134" s="44">
        <f>ROUND(J134*Source!D122, 0)</f>
        <v>0</v>
      </c>
    </row>
    <row r="135" spans="1:12" ht="14.25" hidden="1" x14ac:dyDescent="0.2">
      <c r="A135" s="54"/>
      <c r="B135" s="58"/>
      <c r="C135" s="118" t="s">
        <v>431</v>
      </c>
      <c r="D135" s="118"/>
      <c r="E135" s="118"/>
      <c r="F135" s="118"/>
      <c r="G135" s="118"/>
      <c r="H135" s="118"/>
      <c r="I135" s="41"/>
      <c r="J135" s="44">
        <f>SUMIF(CD58:CD119, 2, AG58:AG119)</f>
        <v>0</v>
      </c>
      <c r="K135" s="43"/>
      <c r="L135" s="44">
        <f>SUMIF(CD58:CD119, 2, BC58:BC119)</f>
        <v>0</v>
      </c>
    </row>
    <row r="136" spans="1:12" ht="14.25" hidden="1" x14ac:dyDescent="0.2">
      <c r="A136" s="54"/>
      <c r="B136" s="58"/>
      <c r="C136" s="118" t="s">
        <v>432</v>
      </c>
      <c r="D136" s="118"/>
      <c r="E136" s="118"/>
      <c r="F136" s="118"/>
      <c r="G136" s="118"/>
      <c r="H136" s="118"/>
      <c r="I136" s="41"/>
      <c r="J136" s="44">
        <f>SUMIF(CD58:CD119, 2, AF58:AF119)</f>
        <v>0</v>
      </c>
      <c r="K136" s="43"/>
      <c r="L136" s="44">
        <f>SUMIF(CD58:CD119, 2, BB58:BB119)</f>
        <v>0</v>
      </c>
    </row>
    <row r="137" spans="1:12" ht="14.25" hidden="1" x14ac:dyDescent="0.2">
      <c r="A137" s="54"/>
      <c r="B137" s="58"/>
      <c r="C137" s="118" t="s">
        <v>433</v>
      </c>
      <c r="D137" s="118"/>
      <c r="E137" s="118"/>
      <c r="F137" s="118"/>
      <c r="G137" s="118"/>
      <c r="H137" s="118"/>
      <c r="I137" s="41"/>
      <c r="J137" s="44">
        <f>SUMIF(CD58:CD119, 2, S58:S119)+SUMIF(CD58:CD119, 2, X58:X119)+SUMIF(CD58:CD119, 2, Z58:Z119)</f>
        <v>0</v>
      </c>
      <c r="K137" s="43"/>
      <c r="L137" s="44">
        <f>SUMIF(CD58:CD119, 2, AR58:AR119)+SUMIF(CD58:CD119, 2, AT58:AT119)+SUMIF(CD58:CD119, 2, AV58:AV119)</f>
        <v>0</v>
      </c>
    </row>
    <row r="138" spans="1:12" ht="14.25" hidden="1" x14ac:dyDescent="0.2">
      <c r="A138" s="54"/>
      <c r="B138" s="58"/>
      <c r="C138" s="118" t="s">
        <v>434</v>
      </c>
      <c r="D138" s="118"/>
      <c r="E138" s="118"/>
      <c r="F138" s="118"/>
      <c r="G138" s="118"/>
      <c r="H138" s="118"/>
      <c r="I138" s="41"/>
      <c r="J138" s="44">
        <f>SUMIF(CD58:CD119, 2, AD58:AD119)</f>
        <v>0</v>
      </c>
      <c r="K138" s="43"/>
      <c r="L138" s="44">
        <f>SUMIF(CD58:CD119, 2, AZ58:AZ119)</f>
        <v>0</v>
      </c>
    </row>
    <row r="139" spans="1:12" ht="14.25" hidden="1" x14ac:dyDescent="0.2">
      <c r="A139" s="54"/>
      <c r="B139" s="58"/>
      <c r="C139" s="118" t="s">
        <v>435</v>
      </c>
      <c r="D139" s="118"/>
      <c r="E139" s="118"/>
      <c r="F139" s="118"/>
      <c r="G139" s="118"/>
      <c r="H139" s="118"/>
      <c r="I139" s="41"/>
      <c r="J139" s="44">
        <f>SUMIF(CD58:CD119, 2, AE58:AE119)</f>
        <v>0</v>
      </c>
      <c r="K139" s="43"/>
      <c r="L139" s="44">
        <f>SUMIF(CD58:CD119, 2, BA58:BA119)</f>
        <v>0</v>
      </c>
    </row>
    <row r="140" spans="1:12" hidden="1" x14ac:dyDescent="0.2"/>
    <row r="141" spans="1:12" ht="15" hidden="1" x14ac:dyDescent="0.2">
      <c r="A141" s="59"/>
      <c r="B141" s="60"/>
      <c r="C141" s="116" t="s">
        <v>437</v>
      </c>
      <c r="D141" s="116"/>
      <c r="E141" s="116"/>
      <c r="F141" s="116"/>
      <c r="G141" s="116"/>
      <c r="H141" s="116"/>
      <c r="I141" s="61"/>
      <c r="J141" s="62">
        <f>J143+J144</f>
        <v>0</v>
      </c>
      <c r="K141" s="63"/>
      <c r="L141" s="62">
        <f>L143+L144</f>
        <v>0</v>
      </c>
    </row>
    <row r="142" spans="1:12" ht="14.25" hidden="1" x14ac:dyDescent="0.2">
      <c r="A142" s="54"/>
      <c r="B142" s="58"/>
      <c r="C142" s="117" t="s">
        <v>420</v>
      </c>
      <c r="D142" s="118"/>
      <c r="E142" s="118"/>
      <c r="F142" s="118"/>
      <c r="G142" s="118"/>
      <c r="H142" s="118"/>
      <c r="I142" s="41"/>
      <c r="J142" s="44"/>
      <c r="K142" s="43"/>
      <c r="L142" s="44"/>
    </row>
    <row r="143" spans="1:12" ht="14.25" hidden="1" x14ac:dyDescent="0.2">
      <c r="A143" s="54"/>
      <c r="B143" s="58" t="str">
        <f>Source!Y122</f>
        <v/>
      </c>
      <c r="C143" s="118" t="s">
        <v>438</v>
      </c>
      <c r="D143" s="118"/>
      <c r="E143" s="118"/>
      <c r="F143" s="118"/>
      <c r="G143" s="118"/>
      <c r="H143" s="118"/>
      <c r="I143" s="41"/>
      <c r="J143" s="44">
        <f>SUMIF(CD58:CD139, 3, BJ58:BJ139)</f>
        <v>0</v>
      </c>
      <c r="K143" s="43">
        <f>Source!H122</f>
        <v>1</v>
      </c>
      <c r="L143" s="44">
        <f>ROUND(J143*Source!H122, 0)</f>
        <v>0</v>
      </c>
    </row>
    <row r="144" spans="1:12" ht="14.25" hidden="1" x14ac:dyDescent="0.2">
      <c r="A144" s="54"/>
      <c r="B144" s="58"/>
      <c r="C144" s="118" t="s">
        <v>439</v>
      </c>
      <c r="D144" s="118"/>
      <c r="E144" s="118"/>
      <c r="F144" s="118"/>
      <c r="G144" s="118"/>
      <c r="H144" s="118"/>
      <c r="I144" s="41"/>
      <c r="J144" s="44">
        <f>SUMIF(CD58:CD139, 3, AH58:AH139)</f>
        <v>0</v>
      </c>
      <c r="K144" s="43"/>
      <c r="L144" s="44">
        <f>SUMIF(CD58:CD139, 3, BD58:BD139)</f>
        <v>0</v>
      </c>
    </row>
    <row r="145" spans="1:12" hidden="1" x14ac:dyDescent="0.2"/>
    <row r="146" spans="1:12" ht="15" hidden="1" x14ac:dyDescent="0.2">
      <c r="A146" s="59"/>
      <c r="B146" s="60"/>
      <c r="C146" s="116" t="s">
        <v>440</v>
      </c>
      <c r="D146" s="116"/>
      <c r="E146" s="116"/>
      <c r="F146" s="116"/>
      <c r="G146" s="116"/>
      <c r="H146" s="116"/>
      <c r="I146" s="61"/>
      <c r="J146" s="62">
        <f>J152+J167+J168+J148+J149</f>
        <v>0</v>
      </c>
      <c r="K146" s="63"/>
      <c r="L146" s="62">
        <f>L152+L167+L168+L148+L149</f>
        <v>0</v>
      </c>
    </row>
    <row r="147" spans="1:12" ht="14.25" hidden="1" x14ac:dyDescent="0.2">
      <c r="A147" s="54"/>
      <c r="B147" s="58"/>
      <c r="C147" s="117" t="s">
        <v>420</v>
      </c>
      <c r="D147" s="118"/>
      <c r="E147" s="118"/>
      <c r="F147" s="118"/>
      <c r="G147" s="118"/>
      <c r="H147" s="118"/>
      <c r="I147" s="41"/>
      <c r="J147" s="44"/>
      <c r="K147" s="43"/>
      <c r="L147" s="44"/>
    </row>
    <row r="148" spans="1:12" ht="14.25" hidden="1" x14ac:dyDescent="0.2">
      <c r="A148" s="54"/>
      <c r="B148" s="58" t="str">
        <f>Source!Z122</f>
        <v/>
      </c>
      <c r="C148" s="118" t="s">
        <v>441</v>
      </c>
      <c r="D148" s="118"/>
      <c r="E148" s="118"/>
      <c r="F148" s="118"/>
      <c r="G148" s="118"/>
      <c r="H148" s="118"/>
      <c r="I148" s="41"/>
      <c r="J148" s="44">
        <f>SUM(BL58:BL144)</f>
        <v>0</v>
      </c>
      <c r="K148" s="43">
        <f>Source!I122</f>
        <v>1</v>
      </c>
      <c r="L148" s="44">
        <f>ROUND(J148*K148, 0)</f>
        <v>0</v>
      </c>
    </row>
    <row r="149" spans="1:12" ht="14.25" hidden="1" x14ac:dyDescent="0.2">
      <c r="A149" s="54"/>
      <c r="B149" s="58" t="str">
        <f>Source!Y122</f>
        <v/>
      </c>
      <c r="C149" s="118" t="s">
        <v>442</v>
      </c>
      <c r="D149" s="118"/>
      <c r="E149" s="118"/>
      <c r="F149" s="118"/>
      <c r="G149" s="118"/>
      <c r="H149" s="118"/>
      <c r="I149" s="41"/>
      <c r="J149" s="44">
        <f>SUM(BN58:BN144)</f>
        <v>0</v>
      </c>
      <c r="K149" s="43">
        <f>Source!H122</f>
        <v>1</v>
      </c>
      <c r="L149" s="44">
        <f>ROUND(J149*K149, 0)</f>
        <v>0</v>
      </c>
    </row>
    <row r="150" spans="1:12" ht="14.25" hidden="1" x14ac:dyDescent="0.2">
      <c r="A150" s="54"/>
      <c r="B150" s="58"/>
      <c r="C150" s="118" t="s">
        <v>443</v>
      </c>
      <c r="D150" s="118"/>
      <c r="E150" s="118"/>
      <c r="F150" s="118"/>
      <c r="G150" s="118"/>
      <c r="H150" s="118"/>
      <c r="I150" s="41"/>
      <c r="J150" s="44">
        <f>J152+J167+J168</f>
        <v>0</v>
      </c>
      <c r="K150" s="43"/>
      <c r="L150" s="44">
        <f>L152+L167+L168</f>
        <v>0</v>
      </c>
    </row>
    <row r="151" spans="1:12" ht="14.25" hidden="1" x14ac:dyDescent="0.2">
      <c r="A151" s="54"/>
      <c r="B151" s="58"/>
      <c r="C151" s="117" t="s">
        <v>420</v>
      </c>
      <c r="D151" s="118"/>
      <c r="E151" s="118"/>
      <c r="F151" s="118"/>
      <c r="G151" s="118"/>
      <c r="H151" s="118"/>
      <c r="I151" s="41"/>
      <c r="J151" s="44"/>
      <c r="K151" s="43"/>
      <c r="L151" s="44"/>
    </row>
    <row r="152" spans="1:12" ht="14.25" hidden="1" x14ac:dyDescent="0.2">
      <c r="A152" s="54"/>
      <c r="B152" s="58"/>
      <c r="C152" s="118" t="s">
        <v>421</v>
      </c>
      <c r="D152" s="118"/>
      <c r="E152" s="118"/>
      <c r="F152" s="118"/>
      <c r="G152" s="118"/>
      <c r="H152" s="118"/>
      <c r="I152" s="41"/>
      <c r="J152" s="44">
        <f>J154+J155+J161+J165</f>
        <v>0</v>
      </c>
      <c r="K152" s="43"/>
      <c r="L152" s="44">
        <f>L154+L155+L161+L165</f>
        <v>0</v>
      </c>
    </row>
    <row r="153" spans="1:12" ht="14.25" hidden="1" x14ac:dyDescent="0.2">
      <c r="A153" s="54"/>
      <c r="B153" s="58"/>
      <c r="C153" s="117" t="s">
        <v>420</v>
      </c>
      <c r="D153" s="118"/>
      <c r="E153" s="118"/>
      <c r="F153" s="118"/>
      <c r="G153" s="118"/>
      <c r="H153" s="118"/>
      <c r="I153" s="41"/>
      <c r="J153" s="44"/>
      <c r="K153" s="43"/>
      <c r="L153" s="44"/>
    </row>
    <row r="154" spans="1:12" ht="14.25" hidden="1" x14ac:dyDescent="0.2">
      <c r="A154" s="54"/>
      <c r="B154" s="58"/>
      <c r="C154" s="118" t="s">
        <v>422</v>
      </c>
      <c r="D154" s="118"/>
      <c r="E154" s="118"/>
      <c r="F154" s="118"/>
      <c r="G154" s="118"/>
      <c r="H154" s="118"/>
      <c r="I154" s="41"/>
      <c r="J154" s="44">
        <f>SUMIF(CD58:CD144, 4, S58:S144)</f>
        <v>0</v>
      </c>
      <c r="K154" s="43"/>
      <c r="L154" s="44">
        <f>SUMIF(CD58:CD144, 4, AR58:AR144)</f>
        <v>0</v>
      </c>
    </row>
    <row r="155" spans="1:12" ht="14.25" hidden="1" x14ac:dyDescent="0.2">
      <c r="A155" s="54"/>
      <c r="B155" s="58"/>
      <c r="C155" s="118" t="s">
        <v>423</v>
      </c>
      <c r="D155" s="118"/>
      <c r="E155" s="118"/>
      <c r="F155" s="118"/>
      <c r="G155" s="118"/>
      <c r="H155" s="118"/>
      <c r="I155" s="41"/>
      <c r="J155" s="44">
        <f>J157+J160</f>
        <v>0</v>
      </c>
      <c r="K155" s="43"/>
      <c r="L155" s="44">
        <f>L157+L160</f>
        <v>0</v>
      </c>
    </row>
    <row r="156" spans="1:12" ht="14.25" hidden="1" x14ac:dyDescent="0.2">
      <c r="A156" s="54"/>
      <c r="B156" s="58"/>
      <c r="C156" s="117" t="s">
        <v>424</v>
      </c>
      <c r="D156" s="118"/>
      <c r="E156" s="118"/>
      <c r="F156" s="118"/>
      <c r="G156" s="118"/>
      <c r="H156" s="118"/>
      <c r="I156" s="41"/>
      <c r="J156" s="44"/>
      <c r="K156" s="43"/>
      <c r="L156" s="44"/>
    </row>
    <row r="157" spans="1:12" ht="14.25" hidden="1" x14ac:dyDescent="0.2">
      <c r="A157" s="54"/>
      <c r="B157" s="58" t="str">
        <f>Source!V122</f>
        <v/>
      </c>
      <c r="C157" s="118" t="s">
        <v>425</v>
      </c>
      <c r="D157" s="118"/>
      <c r="E157" s="118"/>
      <c r="F157" s="118"/>
      <c r="G157" s="118"/>
      <c r="H157" s="118"/>
      <c r="I157" s="41"/>
      <c r="J157" s="44">
        <f>SUMIF(CD58:CD144, 4, P58:P144)</f>
        <v>0</v>
      </c>
      <c r="K157" s="43">
        <f>Source!E122</f>
        <v>14.28</v>
      </c>
      <c r="L157" s="44">
        <f>ROUND(J157*Source!E122, 0)</f>
        <v>0</v>
      </c>
    </row>
    <row r="158" spans="1:12" ht="14.25" hidden="1" x14ac:dyDescent="0.2">
      <c r="A158" s="54"/>
      <c r="B158" s="58"/>
      <c r="C158" s="117" t="s">
        <v>426</v>
      </c>
      <c r="D158" s="118"/>
      <c r="E158" s="118"/>
      <c r="F158" s="118"/>
      <c r="G158" s="118"/>
      <c r="H158" s="118"/>
      <c r="I158" s="41"/>
      <c r="J158" s="44"/>
      <c r="K158" s="43"/>
      <c r="L158" s="44"/>
    </row>
    <row r="159" spans="1:12" ht="14.25" hidden="1" x14ac:dyDescent="0.2">
      <c r="A159" s="54"/>
      <c r="B159" s="58"/>
      <c r="C159" s="118" t="s">
        <v>427</v>
      </c>
      <c r="D159" s="118"/>
      <c r="E159" s="118"/>
      <c r="F159" s="118"/>
      <c r="G159" s="118"/>
      <c r="H159" s="118"/>
      <c r="I159" s="41"/>
      <c r="J159" s="44">
        <f>SUMIF(CD58:CD144, 4, X58:X144)</f>
        <v>0</v>
      </c>
      <c r="K159" s="43"/>
      <c r="L159" s="44">
        <f>SUMIF(CD58:CD144, 4, AT58:AT144)</f>
        <v>0</v>
      </c>
    </row>
    <row r="160" spans="1:12" ht="14.25" hidden="1" x14ac:dyDescent="0.2">
      <c r="A160" s="54"/>
      <c r="B160" s="58"/>
      <c r="C160" s="118" t="s">
        <v>428</v>
      </c>
      <c r="D160" s="118"/>
      <c r="E160" s="118"/>
      <c r="F160" s="118"/>
      <c r="G160" s="118"/>
      <c r="H160" s="118"/>
      <c r="I160" s="41"/>
      <c r="J160" s="44">
        <f>SUMIF(CD58:CD144, 4, Z58:Z144)</f>
        <v>0</v>
      </c>
      <c r="K160" s="43"/>
      <c r="L160" s="44">
        <f>SUMIF(CD58:CD144, 4, AV58:AV144)</f>
        <v>0</v>
      </c>
    </row>
    <row r="161" spans="1:12" ht="14.25" hidden="1" x14ac:dyDescent="0.2">
      <c r="A161" s="54"/>
      <c r="B161" s="58"/>
      <c r="C161" s="118" t="s">
        <v>429</v>
      </c>
      <c r="D161" s="118"/>
      <c r="E161" s="118"/>
      <c r="F161" s="118"/>
      <c r="G161" s="118"/>
      <c r="H161" s="118"/>
      <c r="I161" s="41"/>
      <c r="J161" s="44">
        <f>J163+J164</f>
        <v>0</v>
      </c>
      <c r="K161" s="43"/>
      <c r="L161" s="44">
        <f>L163+L164</f>
        <v>0</v>
      </c>
    </row>
    <row r="162" spans="1:12" ht="14.25" hidden="1" x14ac:dyDescent="0.2">
      <c r="A162" s="54"/>
      <c r="B162" s="58"/>
      <c r="C162" s="117" t="s">
        <v>424</v>
      </c>
      <c r="D162" s="118"/>
      <c r="E162" s="118"/>
      <c r="F162" s="118"/>
      <c r="G162" s="118"/>
      <c r="H162" s="118"/>
      <c r="I162" s="41"/>
      <c r="J162" s="44"/>
      <c r="K162" s="43"/>
      <c r="L162" s="44"/>
    </row>
    <row r="163" spans="1:12" ht="14.25" hidden="1" x14ac:dyDescent="0.2">
      <c r="A163" s="54"/>
      <c r="B163" s="58" t="str">
        <f>Source!U122</f>
        <v/>
      </c>
      <c r="C163" s="118" t="s">
        <v>430</v>
      </c>
      <c r="D163" s="118"/>
      <c r="E163" s="118"/>
      <c r="F163" s="118"/>
      <c r="G163" s="118"/>
      <c r="H163" s="118"/>
      <c r="I163" s="41"/>
      <c r="J163" s="44">
        <f>SUMIF(CD58:CD144, 4, AA58:AA144)-SUMIF(CD58:CD144, 4, BJ58:BJ144)</f>
        <v>0</v>
      </c>
      <c r="K163" s="43">
        <f>Source!D122</f>
        <v>10.19</v>
      </c>
      <c r="L163" s="44">
        <f>ROUND(J163*Source!D122, 0)</f>
        <v>0</v>
      </c>
    </row>
    <row r="164" spans="1:12" ht="14.25" hidden="1" x14ac:dyDescent="0.2">
      <c r="A164" s="54"/>
      <c r="B164" s="58"/>
      <c r="C164" s="118" t="s">
        <v>431</v>
      </c>
      <c r="D164" s="118"/>
      <c r="E164" s="118"/>
      <c r="F164" s="118"/>
      <c r="G164" s="118"/>
      <c r="H164" s="118"/>
      <c r="I164" s="41"/>
      <c r="J164" s="44">
        <f>SUMIF(CD58:CD144, 4, AG58:AG144)</f>
        <v>0</v>
      </c>
      <c r="K164" s="43"/>
      <c r="L164" s="44">
        <f>SUMIF(CD58:CD144, 4, BC58:BC144)</f>
        <v>0</v>
      </c>
    </row>
    <row r="165" spans="1:12" ht="14.25" hidden="1" x14ac:dyDescent="0.2">
      <c r="A165" s="54"/>
      <c r="B165" s="58"/>
      <c r="C165" s="118" t="s">
        <v>432</v>
      </c>
      <c r="D165" s="118"/>
      <c r="E165" s="118"/>
      <c r="F165" s="118"/>
      <c r="G165" s="118"/>
      <c r="H165" s="118"/>
      <c r="I165" s="41"/>
      <c r="J165" s="44">
        <f>SUMIF(CD58:CD144, 4, AF58:AF144)</f>
        <v>0</v>
      </c>
      <c r="K165" s="43"/>
      <c r="L165" s="44">
        <f>SUMIF(CD58:CD144, 4, BB58:BB144)</f>
        <v>0</v>
      </c>
    </row>
    <row r="166" spans="1:12" ht="14.25" hidden="1" x14ac:dyDescent="0.2">
      <c r="A166" s="54"/>
      <c r="B166" s="58"/>
      <c r="C166" s="118" t="s">
        <v>433</v>
      </c>
      <c r="D166" s="118"/>
      <c r="E166" s="118"/>
      <c r="F166" s="118"/>
      <c r="G166" s="118"/>
      <c r="H166" s="118"/>
      <c r="I166" s="41"/>
      <c r="J166" s="44">
        <f>SUMIF(CD58:CD144, 4, S58:S144)+SUMIF(CD58:CD144, 4, X58:X144)+SUMIF(CD58:CD144, 4, Z58:Z144)</f>
        <v>0</v>
      </c>
      <c r="K166" s="43"/>
      <c r="L166" s="44">
        <f>SUMIF(CD58:CD144, 4, AR58:AR144)+SUMIF(CD58:CD144, 4, AT58:AT144)+SUMIF(CD58:CD144, 4, AV58:AV144)</f>
        <v>0</v>
      </c>
    </row>
    <row r="167" spans="1:12" ht="14.25" hidden="1" x14ac:dyDescent="0.2">
      <c r="A167" s="54"/>
      <c r="B167" s="58"/>
      <c r="C167" s="118" t="s">
        <v>434</v>
      </c>
      <c r="D167" s="118"/>
      <c r="E167" s="118"/>
      <c r="F167" s="118"/>
      <c r="G167" s="118"/>
      <c r="H167" s="118"/>
      <c r="I167" s="41"/>
      <c r="J167" s="44">
        <f>SUMIF(CD58:CD144, 4, AD58:AD144)</f>
        <v>0</v>
      </c>
      <c r="K167" s="43"/>
      <c r="L167" s="44">
        <f>SUMIF(CD58:CD144, 4, AZ58:AZ144)</f>
        <v>0</v>
      </c>
    </row>
    <row r="168" spans="1:12" ht="14.25" hidden="1" x14ac:dyDescent="0.2">
      <c r="A168" s="54"/>
      <c r="B168" s="58"/>
      <c r="C168" s="118" t="s">
        <v>435</v>
      </c>
      <c r="D168" s="118"/>
      <c r="E168" s="118"/>
      <c r="F168" s="118"/>
      <c r="G168" s="118"/>
      <c r="H168" s="118"/>
      <c r="I168" s="41"/>
      <c r="J168" s="44">
        <f>SUMIF(CD58:CD144, 4, AE58:AE144)</f>
        <v>0</v>
      </c>
      <c r="K168" s="43"/>
      <c r="L168" s="44">
        <f>SUMIF(CD58:CD144, 4, BA58:BA144)</f>
        <v>0</v>
      </c>
    </row>
    <row r="170" spans="1:12" ht="15" x14ac:dyDescent="0.2">
      <c r="A170" s="59"/>
      <c r="B170" s="60"/>
      <c r="C170" s="116" t="s">
        <v>444</v>
      </c>
      <c r="D170" s="116"/>
      <c r="E170" s="116"/>
      <c r="F170" s="116"/>
      <c r="G170" s="116"/>
      <c r="H170" s="116"/>
      <c r="I170" s="61"/>
      <c r="J170" s="62">
        <f>J101+J121+J141+J146</f>
        <v>8414</v>
      </c>
      <c r="K170" s="63"/>
      <c r="L170" s="62">
        <f>L101+L121+L141+L146</f>
        <v>202605</v>
      </c>
    </row>
    <row r="171" spans="1:12" ht="14.25" x14ac:dyDescent="0.2">
      <c r="A171" s="54"/>
      <c r="B171" s="58"/>
      <c r="C171" s="117" t="s">
        <v>420</v>
      </c>
      <c r="D171" s="118"/>
      <c r="E171" s="118"/>
      <c r="F171" s="118"/>
      <c r="G171" s="118"/>
      <c r="H171" s="118"/>
      <c r="I171" s="41"/>
      <c r="J171" s="44"/>
      <c r="K171" s="43"/>
      <c r="L171" s="44"/>
    </row>
    <row r="172" spans="1:12" ht="14.25" x14ac:dyDescent="0.2">
      <c r="A172" s="54"/>
      <c r="B172" s="58"/>
      <c r="C172" s="118" t="s">
        <v>421</v>
      </c>
      <c r="D172" s="118"/>
      <c r="E172" s="118"/>
      <c r="F172" s="118"/>
      <c r="G172" s="118"/>
      <c r="H172" s="118"/>
      <c r="I172" s="41"/>
      <c r="J172" s="44">
        <f>J174+J175+J181+J185</f>
        <v>5914</v>
      </c>
      <c r="K172" s="43"/>
      <c r="L172" s="44">
        <f>L174+L175+L181+L185</f>
        <v>109314</v>
      </c>
    </row>
    <row r="173" spans="1:12" ht="14.25" x14ac:dyDescent="0.2">
      <c r="A173" s="54"/>
      <c r="B173" s="58"/>
      <c r="C173" s="117" t="s">
        <v>420</v>
      </c>
      <c r="D173" s="118"/>
      <c r="E173" s="118"/>
      <c r="F173" s="118"/>
      <c r="G173" s="118"/>
      <c r="H173" s="118"/>
      <c r="I173" s="41"/>
      <c r="J173" s="44"/>
      <c r="K173" s="43"/>
      <c r="L173" s="44"/>
    </row>
    <row r="174" spans="1:12" ht="14.25" x14ac:dyDescent="0.2">
      <c r="A174" s="54"/>
      <c r="B174" s="58"/>
      <c r="C174" s="118" t="s">
        <v>422</v>
      </c>
      <c r="D174" s="118"/>
      <c r="E174" s="118"/>
      <c r="F174" s="118"/>
      <c r="G174" s="118"/>
      <c r="H174" s="118"/>
      <c r="I174" s="41"/>
      <c r="J174" s="44">
        <f>SUM(S58:S168)</f>
        <v>1081</v>
      </c>
      <c r="K174" s="43"/>
      <c r="L174" s="44">
        <f>SUM(AR58:AR168)</f>
        <v>40321</v>
      </c>
    </row>
    <row r="175" spans="1:12" ht="14.25" x14ac:dyDescent="0.2">
      <c r="A175" s="54"/>
      <c r="B175" s="58"/>
      <c r="C175" s="118" t="s">
        <v>423</v>
      </c>
      <c r="D175" s="118"/>
      <c r="E175" s="118"/>
      <c r="F175" s="118"/>
      <c r="G175" s="118"/>
      <c r="H175" s="118"/>
      <c r="I175" s="41"/>
      <c r="J175" s="44">
        <f>J177+J180</f>
        <v>4689</v>
      </c>
      <c r="K175" s="43"/>
      <c r="L175" s="44">
        <f>L177+L180</f>
        <v>66959</v>
      </c>
    </row>
    <row r="176" spans="1:12" ht="14.25" x14ac:dyDescent="0.2">
      <c r="A176" s="54"/>
      <c r="B176" s="58"/>
      <c r="C176" s="117" t="s">
        <v>424</v>
      </c>
      <c r="D176" s="118"/>
      <c r="E176" s="118"/>
      <c r="F176" s="118"/>
      <c r="G176" s="118"/>
      <c r="H176" s="118"/>
      <c r="I176" s="41"/>
      <c r="J176" s="44"/>
      <c r="K176" s="43"/>
      <c r="L176" s="44"/>
    </row>
    <row r="177" spans="1:12" ht="14.25" x14ac:dyDescent="0.2">
      <c r="A177" s="54"/>
      <c r="B177" s="58"/>
      <c r="C177" s="118" t="s">
        <v>425</v>
      </c>
      <c r="D177" s="118"/>
      <c r="E177" s="118"/>
      <c r="F177" s="118"/>
      <c r="G177" s="118"/>
      <c r="H177" s="118"/>
      <c r="I177" s="41"/>
      <c r="J177" s="44">
        <f>SUM(P58:P168)</f>
        <v>4689</v>
      </c>
      <c r="K177" s="43"/>
      <c r="L177" s="44">
        <f>ROUND(J177*Source!E122, 0)</f>
        <v>66959</v>
      </c>
    </row>
    <row r="178" spans="1:12" ht="14.25" x14ac:dyDescent="0.2">
      <c r="A178" s="54"/>
      <c r="B178" s="58"/>
      <c r="C178" s="117" t="s">
        <v>426</v>
      </c>
      <c r="D178" s="118"/>
      <c r="E178" s="118"/>
      <c r="F178" s="118"/>
      <c r="G178" s="118"/>
      <c r="H178" s="118"/>
      <c r="I178" s="41"/>
      <c r="J178" s="44"/>
      <c r="K178" s="43"/>
      <c r="L178" s="44"/>
    </row>
    <row r="179" spans="1:12" ht="14.25" x14ac:dyDescent="0.2">
      <c r="A179" s="54"/>
      <c r="B179" s="58"/>
      <c r="C179" s="118" t="s">
        <v>427</v>
      </c>
      <c r="D179" s="118"/>
      <c r="E179" s="118"/>
      <c r="F179" s="118"/>
      <c r="G179" s="118"/>
      <c r="H179" s="118"/>
      <c r="I179" s="41"/>
      <c r="J179" s="44">
        <f>SUM(X58:X168)</f>
        <v>530</v>
      </c>
      <c r="K179" s="43"/>
      <c r="L179" s="44">
        <f>SUM(AT58:AT168)</f>
        <v>19769</v>
      </c>
    </row>
    <row r="180" spans="1:12" ht="14.25" hidden="1" x14ac:dyDescent="0.2">
      <c r="A180" s="54"/>
      <c r="B180" s="58"/>
      <c r="C180" s="118" t="s">
        <v>428</v>
      </c>
      <c r="D180" s="118"/>
      <c r="E180" s="118"/>
      <c r="F180" s="118"/>
      <c r="G180" s="118"/>
      <c r="H180" s="118"/>
      <c r="I180" s="41"/>
      <c r="J180" s="44">
        <f>SUM(Z58:Z168)</f>
        <v>0</v>
      </c>
      <c r="K180" s="43"/>
      <c r="L180" s="44">
        <f>SUM(AV58:AV168)</f>
        <v>0</v>
      </c>
    </row>
    <row r="181" spans="1:12" ht="14.25" x14ac:dyDescent="0.2">
      <c r="A181" s="54"/>
      <c r="B181" s="58"/>
      <c r="C181" s="118" t="s">
        <v>429</v>
      </c>
      <c r="D181" s="118"/>
      <c r="E181" s="118"/>
      <c r="F181" s="118"/>
      <c r="G181" s="118"/>
      <c r="H181" s="118"/>
      <c r="I181" s="41"/>
      <c r="J181" s="44">
        <f>J183+J184</f>
        <v>9</v>
      </c>
      <c r="K181" s="43"/>
      <c r="L181" s="44">
        <f>L183+L184</f>
        <v>92</v>
      </c>
    </row>
    <row r="182" spans="1:12" ht="14.25" x14ac:dyDescent="0.2">
      <c r="A182" s="54"/>
      <c r="B182" s="58"/>
      <c r="C182" s="117" t="s">
        <v>424</v>
      </c>
      <c r="D182" s="118"/>
      <c r="E182" s="118"/>
      <c r="F182" s="118"/>
      <c r="G182" s="118"/>
      <c r="H182" s="118"/>
      <c r="I182" s="41"/>
      <c r="J182" s="44"/>
      <c r="K182" s="43"/>
      <c r="L182" s="44"/>
    </row>
    <row r="183" spans="1:12" ht="14.25" x14ac:dyDescent="0.2">
      <c r="A183" s="54"/>
      <c r="B183" s="58"/>
      <c r="C183" s="118" t="s">
        <v>430</v>
      </c>
      <c r="D183" s="118"/>
      <c r="E183" s="118"/>
      <c r="F183" s="118"/>
      <c r="G183" s="118"/>
      <c r="H183" s="118"/>
      <c r="I183" s="41"/>
      <c r="J183" s="44">
        <f>SUM(AA58:AA168)-SUM(BJ58:BJ168)</f>
        <v>9</v>
      </c>
      <c r="K183" s="43"/>
      <c r="L183" s="44">
        <f>ROUND(J183*Source!D122, 0)</f>
        <v>92</v>
      </c>
    </row>
    <row r="184" spans="1:12" ht="14.25" hidden="1" x14ac:dyDescent="0.2">
      <c r="A184" s="54"/>
      <c r="B184" s="58"/>
      <c r="C184" s="118" t="s">
        <v>431</v>
      </c>
      <c r="D184" s="118"/>
      <c r="E184" s="118"/>
      <c r="F184" s="118"/>
      <c r="G184" s="118"/>
      <c r="H184" s="118"/>
      <c r="I184" s="41"/>
      <c r="J184" s="44">
        <f>SUM(AG58:AG168)</f>
        <v>0</v>
      </c>
      <c r="K184" s="43"/>
      <c r="L184" s="44">
        <f>SUM(BC58:BC168)</f>
        <v>0</v>
      </c>
    </row>
    <row r="185" spans="1:12" ht="14.25" x14ac:dyDescent="0.2">
      <c r="A185" s="54"/>
      <c r="B185" s="58"/>
      <c r="C185" s="118" t="s">
        <v>432</v>
      </c>
      <c r="D185" s="118"/>
      <c r="E185" s="118"/>
      <c r="F185" s="118"/>
      <c r="G185" s="118"/>
      <c r="H185" s="118"/>
      <c r="I185" s="41"/>
      <c r="J185" s="44">
        <f>SUM(AF58:AF168)</f>
        <v>135</v>
      </c>
      <c r="K185" s="43"/>
      <c r="L185" s="44">
        <f>SUM(BB58:BB168)</f>
        <v>1942</v>
      </c>
    </row>
    <row r="186" spans="1:12" ht="14.25" x14ac:dyDescent="0.2">
      <c r="A186" s="54"/>
      <c r="B186" s="58"/>
      <c r="C186" s="118" t="s">
        <v>445</v>
      </c>
      <c r="D186" s="118"/>
      <c r="E186" s="118"/>
      <c r="F186" s="118"/>
      <c r="G186" s="118"/>
      <c r="H186" s="118"/>
      <c r="I186" s="41"/>
      <c r="J186" s="44">
        <f>SUM(S58:S168)+SUM(X58:X168)+SUM(Z58:Z168)</f>
        <v>1611</v>
      </c>
      <c r="K186" s="43"/>
      <c r="L186" s="44">
        <f>SUM(AR58:AR168)+SUM(AT58:AT168)+SUM(AV58:AV168)</f>
        <v>60090</v>
      </c>
    </row>
    <row r="187" spans="1:12" ht="14.25" x14ac:dyDescent="0.2">
      <c r="A187" s="54"/>
      <c r="B187" s="58"/>
      <c r="C187" s="118" t="s">
        <v>446</v>
      </c>
      <c r="D187" s="118"/>
      <c r="E187" s="118"/>
      <c r="F187" s="118"/>
      <c r="G187" s="118"/>
      <c r="H187" s="118"/>
      <c r="I187" s="41"/>
      <c r="J187" s="44">
        <f>SUM(AD58:AD168)</f>
        <v>1500</v>
      </c>
      <c r="K187" s="43"/>
      <c r="L187" s="44">
        <f>SUM(AZ58:AZ168)</f>
        <v>55991</v>
      </c>
    </row>
    <row r="188" spans="1:12" ht="14.25" x14ac:dyDescent="0.2">
      <c r="A188" s="54"/>
      <c r="B188" s="58"/>
      <c r="C188" s="118" t="s">
        <v>447</v>
      </c>
      <c r="D188" s="118"/>
      <c r="E188" s="118"/>
      <c r="F188" s="118"/>
      <c r="G188" s="118"/>
      <c r="H188" s="118"/>
      <c r="I188" s="41"/>
      <c r="J188" s="44">
        <f>SUM(AE58:AE168)</f>
        <v>1000</v>
      </c>
      <c r="K188" s="43"/>
      <c r="L188" s="44">
        <f>SUM(BA58:BA168)</f>
        <v>37300</v>
      </c>
    </row>
    <row r="189" spans="1:12" ht="14.25" hidden="1" x14ac:dyDescent="0.2">
      <c r="A189" s="54"/>
      <c r="B189" s="58"/>
      <c r="C189" s="118" t="s">
        <v>448</v>
      </c>
      <c r="D189" s="118"/>
      <c r="E189" s="118"/>
      <c r="F189" s="118"/>
      <c r="G189" s="118"/>
      <c r="H189" s="118"/>
      <c r="I189" s="41"/>
      <c r="J189" s="44">
        <f>J191+J192</f>
        <v>0</v>
      </c>
      <c r="K189" s="43"/>
      <c r="L189" s="44">
        <f>L191+L192</f>
        <v>0</v>
      </c>
    </row>
    <row r="190" spans="1:12" ht="14.25" hidden="1" x14ac:dyDescent="0.2">
      <c r="A190" s="54"/>
      <c r="B190" s="58"/>
      <c r="C190" s="117" t="s">
        <v>420</v>
      </c>
      <c r="D190" s="118"/>
      <c r="E190" s="118"/>
      <c r="F190" s="118"/>
      <c r="G190" s="118"/>
      <c r="H190" s="118"/>
      <c r="I190" s="41"/>
      <c r="J190" s="44"/>
      <c r="K190" s="43"/>
      <c r="L190" s="44"/>
    </row>
    <row r="191" spans="1:12" ht="14.25" hidden="1" x14ac:dyDescent="0.2">
      <c r="A191" s="54"/>
      <c r="B191" s="58"/>
      <c r="C191" s="118" t="s">
        <v>438</v>
      </c>
      <c r="D191" s="118"/>
      <c r="E191" s="118"/>
      <c r="F191" s="118"/>
      <c r="G191" s="118"/>
      <c r="H191" s="118"/>
      <c r="I191" s="41"/>
      <c r="J191" s="44">
        <f>SUM(BJ58:BJ168)</f>
        <v>0</v>
      </c>
      <c r="K191" s="43"/>
      <c r="L191" s="44">
        <f>ROUND(J191*Source!H122, 0)</f>
        <v>0</v>
      </c>
    </row>
    <row r="192" spans="1:12" ht="14.25" hidden="1" x14ac:dyDescent="0.2">
      <c r="A192" s="54"/>
      <c r="B192" s="58"/>
      <c r="C192" s="118" t="s">
        <v>439</v>
      </c>
      <c r="D192" s="118"/>
      <c r="E192" s="118"/>
      <c r="F192" s="118"/>
      <c r="G192" s="118"/>
      <c r="H192" s="118"/>
      <c r="I192" s="41"/>
      <c r="J192" s="44">
        <f>SUM(AH58:AH168)</f>
        <v>0</v>
      </c>
      <c r="K192" s="43"/>
      <c r="L192" s="44">
        <f>SUM(BD58:BD168)</f>
        <v>0</v>
      </c>
    </row>
    <row r="193" spans="1:14" ht="14.25" hidden="1" x14ac:dyDescent="0.2">
      <c r="A193" s="54"/>
      <c r="B193" s="58"/>
      <c r="C193" s="118" t="s">
        <v>449</v>
      </c>
      <c r="D193" s="118"/>
      <c r="E193" s="118"/>
      <c r="F193" s="118"/>
      <c r="G193" s="118"/>
      <c r="H193" s="118"/>
      <c r="I193" s="41"/>
      <c r="J193" s="44">
        <f>J146</f>
        <v>0</v>
      </c>
      <c r="K193" s="43"/>
      <c r="L193" s="44">
        <f>L146</f>
        <v>0</v>
      </c>
    </row>
    <row r="194" spans="1:14" ht="14.25" x14ac:dyDescent="0.2">
      <c r="A194" s="54"/>
      <c r="B194" s="58"/>
      <c r="C194" s="116" t="s">
        <v>450</v>
      </c>
      <c r="D194" s="118"/>
      <c r="E194" s="118"/>
      <c r="F194" s="118"/>
      <c r="G194" s="118"/>
      <c r="H194" s="118"/>
      <c r="I194" s="41"/>
      <c r="J194" s="44"/>
      <c r="K194" s="43"/>
      <c r="L194" s="44"/>
    </row>
    <row r="195" spans="1:14" ht="14.25" hidden="1" x14ac:dyDescent="0.2">
      <c r="A195" s="54"/>
      <c r="B195" s="58"/>
      <c r="C195" s="118" t="s">
        <v>451</v>
      </c>
      <c r="D195" s="118"/>
      <c r="E195" s="118"/>
      <c r="F195" s="118"/>
      <c r="G195" s="118"/>
      <c r="H195" s="118"/>
      <c r="I195" s="41"/>
      <c r="J195" s="44">
        <f>SUM(AB58:AB168)</f>
        <v>0</v>
      </c>
      <c r="K195" s="43"/>
      <c r="L195" s="44">
        <f>SUM(AX58:AX168)</f>
        <v>0</v>
      </c>
    </row>
    <row r="196" spans="1:14" ht="14.25" hidden="1" x14ac:dyDescent="0.2">
      <c r="A196" s="54"/>
      <c r="B196" s="58"/>
      <c r="C196" s="118" t="s">
        <v>452</v>
      </c>
      <c r="D196" s="118"/>
      <c r="E196" s="118"/>
      <c r="F196" s="118"/>
      <c r="G196" s="118"/>
      <c r="H196" s="118"/>
      <c r="I196" s="41"/>
      <c r="J196" s="44">
        <f>SUM(AC58:AC168)</f>
        <v>0</v>
      </c>
      <c r="K196" s="43"/>
      <c r="L196" s="44">
        <f>SUM(AY58:AY168)</f>
        <v>0</v>
      </c>
    </row>
    <row r="197" spans="1:14" ht="14.25" x14ac:dyDescent="0.2">
      <c r="A197" s="54"/>
      <c r="B197" s="58"/>
      <c r="C197" s="118" t="s">
        <v>453</v>
      </c>
      <c r="D197" s="118"/>
      <c r="E197" s="118"/>
      <c r="F197" s="120"/>
      <c r="G197" s="68">
        <f>Source!F57</f>
        <v>104.76445</v>
      </c>
      <c r="H197" s="54"/>
      <c r="I197" s="54"/>
      <c r="J197" s="54"/>
      <c r="K197" s="54"/>
      <c r="L197" s="54"/>
    </row>
    <row r="198" spans="1:14" ht="14.25" x14ac:dyDescent="0.2">
      <c r="A198" s="54"/>
      <c r="B198" s="58"/>
      <c r="C198" s="118" t="s">
        <v>454</v>
      </c>
      <c r="D198" s="118"/>
      <c r="E198" s="118"/>
      <c r="F198" s="120"/>
      <c r="G198" s="68">
        <f>Source!F58</f>
        <v>39.34487</v>
      </c>
      <c r="H198" s="54"/>
      <c r="I198" s="54"/>
      <c r="J198" s="54"/>
      <c r="K198" s="54"/>
      <c r="L198" s="54"/>
    </row>
    <row r="200" spans="1:14" x14ac:dyDescent="0.2">
      <c r="C200" t="s">
        <v>459</v>
      </c>
      <c r="D200" s="77">
        <v>0.05</v>
      </c>
      <c r="L200" s="78">
        <f>L170*5%</f>
        <v>10130.25</v>
      </c>
    </row>
    <row r="201" spans="1:14" s="79" customFormat="1" ht="15" x14ac:dyDescent="0.25">
      <c r="C201" s="79" t="s">
        <v>460</v>
      </c>
      <c r="D201" s="80"/>
      <c r="L201" s="81">
        <f>L200+L170</f>
        <v>212735.25</v>
      </c>
      <c r="N201" s="79">
        <v>212735</v>
      </c>
    </row>
    <row r="203" spans="1:14" ht="14.25" customHeight="1" x14ac:dyDescent="0.2">
      <c r="A203" s="73"/>
      <c r="B203" s="74" t="s">
        <v>455</v>
      </c>
      <c r="C203" s="75" t="str">
        <f>IF(Source!AC12&lt;&gt;"", Source!AC12," ")</f>
        <v xml:space="preserve"> </v>
      </c>
      <c r="D203" s="32"/>
      <c r="E203" s="32"/>
      <c r="F203" s="32"/>
      <c r="G203" s="32"/>
      <c r="H203" s="12" t="str">
        <f>IF(Source!AB12&lt;&gt;"", Source!AB12," ")</f>
        <v xml:space="preserve"> </v>
      </c>
      <c r="I203" s="11"/>
      <c r="J203" s="11"/>
      <c r="K203" s="11"/>
      <c r="L203" s="9"/>
    </row>
    <row r="204" spans="1:14" ht="14.25" customHeight="1" x14ac:dyDescent="0.2">
      <c r="A204" s="73"/>
      <c r="B204" s="76"/>
      <c r="C204" s="121" t="s">
        <v>456</v>
      </c>
      <c r="D204" s="121"/>
      <c r="E204" s="121"/>
      <c r="F204" s="121"/>
      <c r="G204" s="121"/>
      <c r="H204" s="11"/>
      <c r="I204" s="11"/>
      <c r="J204" s="11"/>
      <c r="K204" s="11"/>
      <c r="L204" s="9"/>
    </row>
    <row r="205" spans="1:14" ht="14.25" customHeight="1" x14ac:dyDescent="0.2">
      <c r="A205" s="73"/>
      <c r="B205" s="76"/>
      <c r="C205" s="11"/>
      <c r="D205" s="11"/>
      <c r="E205" s="11"/>
      <c r="F205" s="11"/>
      <c r="G205" s="11"/>
      <c r="H205" s="11"/>
      <c r="I205" s="11"/>
      <c r="J205" s="11"/>
      <c r="K205" s="11"/>
      <c r="L205" s="9"/>
    </row>
    <row r="206" spans="1:14" ht="14.25" customHeight="1" x14ac:dyDescent="0.2">
      <c r="A206" s="73"/>
      <c r="B206" s="74" t="s">
        <v>457</v>
      </c>
      <c r="C206" s="75" t="str">
        <f>IF(Source!AE12&lt;&gt;"", Source!AE12," ")</f>
        <v xml:space="preserve"> </v>
      </c>
      <c r="D206" s="32"/>
      <c r="E206" s="32"/>
      <c r="F206" s="32"/>
      <c r="G206" s="32"/>
      <c r="H206" s="12" t="str">
        <f>IF(Source!AD12&lt;&gt;"", Source!AD12," ")</f>
        <v xml:space="preserve"> </v>
      </c>
      <c r="I206" s="11"/>
      <c r="J206" s="11"/>
      <c r="K206" s="11"/>
      <c r="L206" s="9"/>
    </row>
    <row r="207" spans="1:14" ht="14.25" customHeight="1" x14ac:dyDescent="0.2">
      <c r="A207" s="11"/>
      <c r="B207" s="11"/>
      <c r="C207" s="121" t="s">
        <v>456</v>
      </c>
      <c r="D207" s="121"/>
      <c r="E207" s="121"/>
      <c r="F207" s="121"/>
      <c r="G207" s="121"/>
      <c r="H207" s="11"/>
      <c r="I207" s="11"/>
      <c r="J207" s="11"/>
      <c r="K207" s="11"/>
      <c r="L207" s="9"/>
    </row>
  </sheetData>
  <mergeCells count="154">
    <mergeCell ref="C197:F197"/>
    <mergeCell ref="C198:F198"/>
    <mergeCell ref="C204:G204"/>
    <mergeCell ref="C207:G207"/>
    <mergeCell ref="C191:H191"/>
    <mergeCell ref="C192:H192"/>
    <mergeCell ref="C193:H193"/>
    <mergeCell ref="C194:H194"/>
    <mergeCell ref="C195:H195"/>
    <mergeCell ref="C196:H196"/>
    <mergeCell ref="C185:H185"/>
    <mergeCell ref="C186:H186"/>
    <mergeCell ref="C187:H187"/>
    <mergeCell ref="C188:H188"/>
    <mergeCell ref="C189:H189"/>
    <mergeCell ref="C190:H190"/>
    <mergeCell ref="C179:H179"/>
    <mergeCell ref="C180:H180"/>
    <mergeCell ref="C181:H181"/>
    <mergeCell ref="C182:H182"/>
    <mergeCell ref="C183:H183"/>
    <mergeCell ref="C184:H184"/>
    <mergeCell ref="C173:H173"/>
    <mergeCell ref="C174:H174"/>
    <mergeCell ref="C175:H175"/>
    <mergeCell ref="C176:H176"/>
    <mergeCell ref="C177:H177"/>
    <mergeCell ref="C178:H178"/>
    <mergeCell ref="C166:H166"/>
    <mergeCell ref="C167:H167"/>
    <mergeCell ref="C168:H168"/>
    <mergeCell ref="C170:H170"/>
    <mergeCell ref="C171:H171"/>
    <mergeCell ref="C172:H172"/>
    <mergeCell ref="C160:H160"/>
    <mergeCell ref="C161:H161"/>
    <mergeCell ref="C162:H162"/>
    <mergeCell ref="C163:H163"/>
    <mergeCell ref="C164:H164"/>
    <mergeCell ref="C165:H165"/>
    <mergeCell ref="C154:H154"/>
    <mergeCell ref="C155:H155"/>
    <mergeCell ref="C156:H156"/>
    <mergeCell ref="C157:H157"/>
    <mergeCell ref="C158:H158"/>
    <mergeCell ref="C159:H159"/>
    <mergeCell ref="C148:H148"/>
    <mergeCell ref="C149:H149"/>
    <mergeCell ref="C150:H150"/>
    <mergeCell ref="C151:H151"/>
    <mergeCell ref="C152:H152"/>
    <mergeCell ref="C153:H153"/>
    <mergeCell ref="C141:H141"/>
    <mergeCell ref="C142:H142"/>
    <mergeCell ref="C143:H143"/>
    <mergeCell ref="C144:H144"/>
    <mergeCell ref="C146:H146"/>
    <mergeCell ref="C147:H147"/>
    <mergeCell ref="C134:H134"/>
    <mergeCell ref="C135:H135"/>
    <mergeCell ref="C136:H136"/>
    <mergeCell ref="C137:H137"/>
    <mergeCell ref="C138:H138"/>
    <mergeCell ref="C139:H139"/>
    <mergeCell ref="C128:H128"/>
    <mergeCell ref="C129:H129"/>
    <mergeCell ref="C130:H130"/>
    <mergeCell ref="C131:H131"/>
    <mergeCell ref="C132:H132"/>
    <mergeCell ref="C133:H133"/>
    <mergeCell ref="C122:H122"/>
    <mergeCell ref="C123:H123"/>
    <mergeCell ref="C124:H124"/>
    <mergeCell ref="C125:H125"/>
    <mergeCell ref="C126:H126"/>
    <mergeCell ref="C127:H127"/>
    <mergeCell ref="C115:H115"/>
    <mergeCell ref="C116:H116"/>
    <mergeCell ref="C117:H117"/>
    <mergeCell ref="C118:H118"/>
    <mergeCell ref="C119:H119"/>
    <mergeCell ref="C121:H121"/>
    <mergeCell ref="C109:H109"/>
    <mergeCell ref="C110:H110"/>
    <mergeCell ref="C111:H111"/>
    <mergeCell ref="C112:H112"/>
    <mergeCell ref="C113:H113"/>
    <mergeCell ref="C114:H114"/>
    <mergeCell ref="C103:H103"/>
    <mergeCell ref="C104:H104"/>
    <mergeCell ref="C105:H105"/>
    <mergeCell ref="C106:H106"/>
    <mergeCell ref="C107:H107"/>
    <mergeCell ref="C108:H108"/>
    <mergeCell ref="C97:H97"/>
    <mergeCell ref="I97:J97"/>
    <mergeCell ref="K97:L97"/>
    <mergeCell ref="C99:H99"/>
    <mergeCell ref="C101:H101"/>
    <mergeCell ref="C102:H102"/>
    <mergeCell ref="C81:L81"/>
    <mergeCell ref="C93:H93"/>
    <mergeCell ref="I93:J93"/>
    <mergeCell ref="C95:H95"/>
    <mergeCell ref="I95:J95"/>
    <mergeCell ref="K95:L95"/>
    <mergeCell ref="K52:K56"/>
    <mergeCell ref="L52:L56"/>
    <mergeCell ref="C70:H70"/>
    <mergeCell ref="I70:J70"/>
    <mergeCell ref="C79:H79"/>
    <mergeCell ref="I79:J79"/>
    <mergeCell ref="A52:A56"/>
    <mergeCell ref="B52:B56"/>
    <mergeCell ref="C52:C56"/>
    <mergeCell ref="D52:D56"/>
    <mergeCell ref="E52:G55"/>
    <mergeCell ref="H52:J55"/>
    <mergeCell ref="C40:L40"/>
    <mergeCell ref="D44:E44"/>
    <mergeCell ref="D47:E47"/>
    <mergeCell ref="D48:E48"/>
    <mergeCell ref="D49:E49"/>
    <mergeCell ref="D50:E50"/>
    <mergeCell ref="A28:L28"/>
    <mergeCell ref="A29:L29"/>
    <mergeCell ref="A31:L31"/>
    <mergeCell ref="A33:L33"/>
    <mergeCell ref="A34:L34"/>
    <mergeCell ref="C39:L39"/>
    <mergeCell ref="A20:E20"/>
    <mergeCell ref="F20:L20"/>
    <mergeCell ref="A22:E22"/>
    <mergeCell ref="F22:L22"/>
    <mergeCell ref="A25:L25"/>
    <mergeCell ref="A26:L26"/>
    <mergeCell ref="A14:E14"/>
    <mergeCell ref="F14:L14"/>
    <mergeCell ref="A16:E16"/>
    <mergeCell ref="F16:L16"/>
    <mergeCell ref="A18:E18"/>
    <mergeCell ref="F18:L18"/>
    <mergeCell ref="B7:E7"/>
    <mergeCell ref="H7:L7"/>
    <mergeCell ref="A10:E10"/>
    <mergeCell ref="F10:L10"/>
    <mergeCell ref="A12:E12"/>
    <mergeCell ref="F12:L12"/>
    <mergeCell ref="B3:E3"/>
    <mergeCell ref="H3:L3"/>
    <mergeCell ref="B4:E4"/>
    <mergeCell ref="H4:L4"/>
    <mergeCell ref="B6:E6"/>
    <mergeCell ref="H6:L6"/>
  </mergeCells>
  <pageMargins left="0.4" right="0.2" top="0.2" bottom="0.4" header="0.2" footer="0.2"/>
  <pageSetup paperSize="9" scale="70" fitToHeight="0" orientation="landscape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K126"/>
  <sheetViews>
    <sheetView workbookViewId="0">
      <selection activeCell="N31" sqref="N31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16987</v>
      </c>
      <c r="M1">
        <v>28058709</v>
      </c>
      <c r="N1">
        <v>11</v>
      </c>
      <c r="O1">
        <v>15</v>
      </c>
      <c r="P1">
        <v>0</v>
      </c>
      <c r="Q1">
        <v>2</v>
      </c>
    </row>
    <row r="12" spans="1:133" x14ac:dyDescent="0.2">
      <c r="A12" s="1">
        <v>1</v>
      </c>
      <c r="B12" s="1">
        <v>121</v>
      </c>
      <c r="C12" s="1">
        <v>0</v>
      </c>
      <c r="D12" s="1">
        <f>ROW(A65)</f>
        <v>65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518</v>
      </c>
      <c r="N12" s="1"/>
      <c r="O12" s="1">
        <v>0</v>
      </c>
      <c r="P12" s="1">
        <v>0</v>
      </c>
      <c r="Q12" s="1">
        <v>0</v>
      </c>
      <c r="R12" s="1">
        <v>0</v>
      </c>
      <c r="S12" s="1"/>
      <c r="T12" s="1">
        <v>3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2</v>
      </c>
      <c r="BQ12" s="1">
        <v>0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405274632</v>
      </c>
      <c r="CI12" s="1" t="s">
        <v>3</v>
      </c>
      <c r="CJ12" s="1" t="s">
        <v>3</v>
      </c>
      <c r="CK12" s="1">
        <v>9</v>
      </c>
      <c r="CL12" s="1"/>
      <c r="CM12" s="1"/>
      <c r="CN12" s="1"/>
      <c r="CO12" s="1"/>
      <c r="CP12" s="1"/>
      <c r="CQ12" s="1" t="s">
        <v>356</v>
      </c>
      <c r="CR12" s="1" t="s">
        <v>12</v>
      </c>
      <c r="CS12" s="1">
        <v>44551</v>
      </c>
      <c r="CT12" s="1">
        <v>395</v>
      </c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2">
      <c r="A18" s="2">
        <v>52</v>
      </c>
      <c r="B18" s="2">
        <f t="shared" ref="B18:G18" si="0">B65</f>
        <v>121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Новый объект</v>
      </c>
      <c r="G18" s="2" t="str">
        <f t="shared" si="0"/>
        <v>Вод башня</v>
      </c>
      <c r="H18" s="2"/>
      <c r="I18" s="2"/>
      <c r="J18" s="2"/>
      <c r="K18" s="2"/>
      <c r="L18" s="2"/>
      <c r="M18" s="2"/>
      <c r="N18" s="2"/>
      <c r="O18" s="2">
        <f t="shared" ref="O18:AT18" si="1">O65</f>
        <v>5779</v>
      </c>
      <c r="P18" s="2">
        <f t="shared" si="1"/>
        <v>9</v>
      </c>
      <c r="Q18" s="2">
        <f t="shared" si="1"/>
        <v>4689</v>
      </c>
      <c r="R18" s="2">
        <f t="shared" si="1"/>
        <v>530</v>
      </c>
      <c r="S18" s="2">
        <f t="shared" si="1"/>
        <v>1081</v>
      </c>
      <c r="T18" s="2">
        <f t="shared" si="1"/>
        <v>0</v>
      </c>
      <c r="U18" s="2">
        <f t="shared" si="1"/>
        <v>104.76445</v>
      </c>
      <c r="V18" s="2">
        <f t="shared" si="1"/>
        <v>39.34487</v>
      </c>
      <c r="W18" s="2">
        <f t="shared" si="1"/>
        <v>0</v>
      </c>
      <c r="X18" s="2">
        <f t="shared" si="1"/>
        <v>1500</v>
      </c>
      <c r="Y18" s="2">
        <f t="shared" si="1"/>
        <v>1000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0</v>
      </c>
      <c r="AQ18" s="2">
        <f t="shared" si="1"/>
        <v>0</v>
      </c>
      <c r="AR18" s="2">
        <f t="shared" si="1"/>
        <v>8414</v>
      </c>
      <c r="AS18" s="2">
        <f t="shared" si="1"/>
        <v>8414</v>
      </c>
      <c r="AT18" s="2">
        <f t="shared" si="1"/>
        <v>0</v>
      </c>
      <c r="AU18" s="2">
        <f t="shared" ref="AU18:BZ18" si="2">AU65</f>
        <v>0</v>
      </c>
      <c r="AV18" s="2">
        <f t="shared" si="2"/>
        <v>9</v>
      </c>
      <c r="AW18" s="2">
        <f t="shared" si="2"/>
        <v>9</v>
      </c>
      <c r="AX18" s="2">
        <f t="shared" si="2"/>
        <v>0</v>
      </c>
      <c r="AY18" s="2">
        <f t="shared" si="2"/>
        <v>9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135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CA65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DG65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EM65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FS65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 x14ac:dyDescent="0.2">
      <c r="A20" s="1">
        <v>3</v>
      </c>
      <c r="B20" s="1">
        <v>1</v>
      </c>
      <c r="C20" s="1"/>
      <c r="D20" s="1">
        <f>ROW(A35)</f>
        <v>35</v>
      </c>
      <c r="E20" s="1"/>
      <c r="F20" s="1" t="s">
        <v>13</v>
      </c>
      <c r="G20" s="1" t="s">
        <v>13</v>
      </c>
      <c r="H20" s="1" t="s">
        <v>3</v>
      </c>
      <c r="I20" s="1">
        <v>0</v>
      </c>
      <c r="J20" s="1" t="s">
        <v>3</v>
      </c>
      <c r="K20" s="1">
        <v>0</v>
      </c>
      <c r="L20" s="1" t="s">
        <v>13</v>
      </c>
      <c r="M20" s="1" t="s">
        <v>3</v>
      </c>
      <c r="N20" s="1"/>
      <c r="O20" s="1"/>
      <c r="P20" s="1"/>
      <c r="Q20" s="1"/>
      <c r="R20" s="1"/>
      <c r="S20" s="1">
        <v>60563955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x14ac:dyDescent="0.2">
      <c r="A22" s="2">
        <v>52</v>
      </c>
      <c r="B22" s="2">
        <f t="shared" ref="B22:G22" si="7">B35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>Новая локальная смета</v>
      </c>
      <c r="G22" s="2" t="str">
        <f t="shared" si="7"/>
        <v>Новая локальная смета</v>
      </c>
      <c r="H22" s="2"/>
      <c r="I22" s="2"/>
      <c r="J22" s="2"/>
      <c r="K22" s="2"/>
      <c r="L22" s="2"/>
      <c r="M22" s="2"/>
      <c r="N22" s="2"/>
      <c r="O22" s="2">
        <f t="shared" ref="O22:AT22" si="8">O35</f>
        <v>5779</v>
      </c>
      <c r="P22" s="2">
        <f t="shared" si="8"/>
        <v>9</v>
      </c>
      <c r="Q22" s="2">
        <f t="shared" si="8"/>
        <v>4689</v>
      </c>
      <c r="R22" s="2">
        <f t="shared" si="8"/>
        <v>530</v>
      </c>
      <c r="S22" s="2">
        <f t="shared" si="8"/>
        <v>1081</v>
      </c>
      <c r="T22" s="2">
        <f t="shared" si="8"/>
        <v>0</v>
      </c>
      <c r="U22" s="2">
        <f t="shared" si="8"/>
        <v>104.76445</v>
      </c>
      <c r="V22" s="2">
        <f t="shared" si="8"/>
        <v>39.34487</v>
      </c>
      <c r="W22" s="2">
        <f t="shared" si="8"/>
        <v>0</v>
      </c>
      <c r="X22" s="2">
        <f t="shared" si="8"/>
        <v>1500</v>
      </c>
      <c r="Y22" s="2">
        <f t="shared" si="8"/>
        <v>1000</v>
      </c>
      <c r="Z22" s="2">
        <f t="shared" si="8"/>
        <v>0</v>
      </c>
      <c r="AA22" s="2">
        <f t="shared" si="8"/>
        <v>0</v>
      </c>
      <c r="AB22" s="2">
        <f t="shared" si="8"/>
        <v>5779</v>
      </c>
      <c r="AC22" s="2">
        <f t="shared" si="8"/>
        <v>9</v>
      </c>
      <c r="AD22" s="2">
        <f t="shared" si="8"/>
        <v>4689</v>
      </c>
      <c r="AE22" s="2">
        <f t="shared" si="8"/>
        <v>530</v>
      </c>
      <c r="AF22" s="2">
        <f t="shared" si="8"/>
        <v>1081</v>
      </c>
      <c r="AG22" s="2">
        <f t="shared" si="8"/>
        <v>0</v>
      </c>
      <c r="AH22" s="2">
        <f t="shared" si="8"/>
        <v>104.76445</v>
      </c>
      <c r="AI22" s="2">
        <f t="shared" si="8"/>
        <v>39.34487</v>
      </c>
      <c r="AJ22" s="2">
        <f t="shared" si="8"/>
        <v>0</v>
      </c>
      <c r="AK22" s="2">
        <f t="shared" si="8"/>
        <v>1500</v>
      </c>
      <c r="AL22" s="2">
        <f t="shared" si="8"/>
        <v>1000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0</v>
      </c>
      <c r="AQ22" s="2">
        <f t="shared" si="8"/>
        <v>0</v>
      </c>
      <c r="AR22" s="2">
        <f t="shared" si="8"/>
        <v>8414</v>
      </c>
      <c r="AS22" s="2">
        <f t="shared" si="8"/>
        <v>8414</v>
      </c>
      <c r="AT22" s="2">
        <f t="shared" si="8"/>
        <v>0</v>
      </c>
      <c r="AU22" s="2">
        <f t="shared" ref="AU22:BZ22" si="9">AU35</f>
        <v>0</v>
      </c>
      <c r="AV22" s="2">
        <f t="shared" si="9"/>
        <v>9</v>
      </c>
      <c r="AW22" s="2">
        <f t="shared" si="9"/>
        <v>9</v>
      </c>
      <c r="AX22" s="2">
        <f t="shared" si="9"/>
        <v>0</v>
      </c>
      <c r="AY22" s="2">
        <f t="shared" si="9"/>
        <v>9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135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CA35</f>
        <v>8414</v>
      </c>
      <c r="CB22" s="2">
        <f t="shared" si="10"/>
        <v>8414</v>
      </c>
      <c r="CC22" s="2">
        <f t="shared" si="10"/>
        <v>0</v>
      </c>
      <c r="CD22" s="2">
        <f t="shared" si="10"/>
        <v>0</v>
      </c>
      <c r="CE22" s="2">
        <f t="shared" si="10"/>
        <v>9</v>
      </c>
      <c r="CF22" s="2">
        <f t="shared" si="10"/>
        <v>9</v>
      </c>
      <c r="CG22" s="2">
        <f t="shared" si="10"/>
        <v>0</v>
      </c>
      <c r="CH22" s="2">
        <f t="shared" si="10"/>
        <v>9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135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DG35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EM35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FS35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 x14ac:dyDescent="0.2">
      <c r="A24">
        <v>17</v>
      </c>
      <c r="B24">
        <v>1</v>
      </c>
      <c r="C24">
        <f>ROW(SmtRes!A6)</f>
        <v>6</v>
      </c>
      <c r="D24">
        <f>ROW(EtalonRes!A6)</f>
        <v>6</v>
      </c>
      <c r="E24" t="s">
        <v>14</v>
      </c>
      <c r="F24" t="s">
        <v>15</v>
      </c>
      <c r="G24" t="s">
        <v>16</v>
      </c>
      <c r="H24" t="s">
        <v>17</v>
      </c>
      <c r="I24">
        <v>2.5000000000000001E-2</v>
      </c>
      <c r="J24">
        <v>0</v>
      </c>
      <c r="K24">
        <v>2.5000000000000001E-2</v>
      </c>
      <c r="O24">
        <f>ROUND(CP24,0)</f>
        <v>23</v>
      </c>
      <c r="P24">
        <f>ROUND(CQ24*I24,0)</f>
        <v>9</v>
      </c>
      <c r="Q24">
        <f>ROUND(CR24*I24,0)</f>
        <v>0</v>
      </c>
      <c r="R24">
        <f>ROUND(CS24*I24,0)</f>
        <v>0</v>
      </c>
      <c r="S24">
        <f>ROUND(CT24*I24,0)</f>
        <v>14</v>
      </c>
      <c r="T24">
        <f>ROUND(CU24*I24,0)</f>
        <v>0</v>
      </c>
      <c r="U24">
        <f>ROUND(CV24*I24,7)</f>
        <v>1.63</v>
      </c>
      <c r="V24">
        <f>ROUND(CW24*I24,7)</f>
        <v>2E-3</v>
      </c>
      <c r="W24">
        <f>ROUND(CX24*I24,0)</f>
        <v>0</v>
      </c>
      <c r="X24">
        <f t="shared" ref="X24:Y27" si="14">ROUND(CY24,0)</f>
        <v>15</v>
      </c>
      <c r="Y24">
        <f t="shared" si="14"/>
        <v>10</v>
      </c>
      <c r="AA24">
        <v>60563954</v>
      </c>
      <c r="AB24">
        <f>ROUND((AC24+AD24+AF24),2)</f>
        <v>913.9</v>
      </c>
      <c r="AC24">
        <f>ROUND((ES24),2)</f>
        <v>345.31</v>
      </c>
      <c r="AD24">
        <f>ROUND((((ET24)-(EU24))+AE24),2)</f>
        <v>5.26</v>
      </c>
      <c r="AE24">
        <f>ROUND((EU24),2)</f>
        <v>0.93</v>
      </c>
      <c r="AF24">
        <f>ROUND((EV24),2)</f>
        <v>563.33000000000004</v>
      </c>
      <c r="AG24">
        <f>ROUND((AP24),2)</f>
        <v>0</v>
      </c>
      <c r="AH24">
        <f>(EW24)</f>
        <v>65.2</v>
      </c>
      <c r="AI24">
        <f>(EX24)</f>
        <v>0.08</v>
      </c>
      <c r="AJ24">
        <f>(AS24)</f>
        <v>0</v>
      </c>
      <c r="AK24">
        <v>913.9</v>
      </c>
      <c r="AL24">
        <v>345.31</v>
      </c>
      <c r="AM24">
        <v>5.26</v>
      </c>
      <c r="AN24">
        <v>0.93</v>
      </c>
      <c r="AO24">
        <v>563.33000000000004</v>
      </c>
      <c r="AP24">
        <v>0</v>
      </c>
      <c r="AQ24">
        <v>65.2</v>
      </c>
      <c r="AR24">
        <v>0.08</v>
      </c>
      <c r="AS24">
        <v>0</v>
      </c>
      <c r="AT24">
        <v>110</v>
      </c>
      <c r="AU24">
        <v>69</v>
      </c>
      <c r="AV24">
        <v>1</v>
      </c>
      <c r="AW24">
        <v>1</v>
      </c>
      <c r="AZ24">
        <v>1</v>
      </c>
      <c r="BA24">
        <v>37.299999999999997</v>
      </c>
      <c r="BB24">
        <v>1</v>
      </c>
      <c r="BC24">
        <v>1</v>
      </c>
      <c r="BD24" t="s">
        <v>3</v>
      </c>
      <c r="BE24" t="s">
        <v>3</v>
      </c>
      <c r="BF24" t="s">
        <v>3</v>
      </c>
      <c r="BG24" t="s">
        <v>3</v>
      </c>
      <c r="BH24">
        <v>0</v>
      </c>
      <c r="BI24">
        <v>1</v>
      </c>
      <c r="BJ24" t="s">
        <v>18</v>
      </c>
      <c r="BM24">
        <v>8001</v>
      </c>
      <c r="BN24">
        <v>0</v>
      </c>
      <c r="BO24" t="s">
        <v>3</v>
      </c>
      <c r="BP24">
        <v>0</v>
      </c>
      <c r="BQ24">
        <v>2</v>
      </c>
      <c r="BR24">
        <v>0</v>
      </c>
      <c r="BS24">
        <v>37.299999999999997</v>
      </c>
      <c r="BT24">
        <v>1</v>
      </c>
      <c r="BU24">
        <v>1</v>
      </c>
      <c r="BV24">
        <v>1</v>
      </c>
      <c r="BW24">
        <v>1</v>
      </c>
      <c r="BX24">
        <v>1</v>
      </c>
      <c r="BY24" t="s">
        <v>3</v>
      </c>
      <c r="BZ24">
        <v>110</v>
      </c>
      <c r="CA24">
        <v>69</v>
      </c>
      <c r="CB24" t="s">
        <v>3</v>
      </c>
      <c r="CE24">
        <v>0</v>
      </c>
      <c r="CF24">
        <v>0</v>
      </c>
      <c r="CG24">
        <v>0</v>
      </c>
      <c r="CM24">
        <v>0</v>
      </c>
      <c r="CN24" t="s">
        <v>3</v>
      </c>
      <c r="CO24">
        <v>0</v>
      </c>
      <c r="CP24">
        <f>(P24+Q24+S24)</f>
        <v>23</v>
      </c>
      <c r="CQ24">
        <f>AC24*BC24</f>
        <v>345.31</v>
      </c>
      <c r="CR24">
        <f>(((ET24)*BB24-(EU24))+AE24)</f>
        <v>5.26</v>
      </c>
      <c r="CS24">
        <f t="shared" ref="CS24:CX27" si="15">AE24</f>
        <v>0.93</v>
      </c>
      <c r="CT24">
        <f t="shared" si="15"/>
        <v>563.33000000000004</v>
      </c>
      <c r="CU24">
        <f t="shared" si="15"/>
        <v>0</v>
      </c>
      <c r="CV24">
        <f t="shared" si="15"/>
        <v>65.2</v>
      </c>
      <c r="CW24">
        <f t="shared" si="15"/>
        <v>0.08</v>
      </c>
      <c r="CX24">
        <f t="shared" si="15"/>
        <v>0</v>
      </c>
      <c r="CY24">
        <f>(((S24+R24)*AT24)/100)</f>
        <v>15.4</v>
      </c>
      <c r="CZ24">
        <f>(((S24+R24)*AU24)/100)</f>
        <v>9.66</v>
      </c>
      <c r="DC24" t="s">
        <v>3</v>
      </c>
      <c r="DD24" t="s">
        <v>3</v>
      </c>
      <c r="DE24" t="s">
        <v>3</v>
      </c>
      <c r="DF24" t="s">
        <v>3</v>
      </c>
      <c r="DG24" t="s">
        <v>3</v>
      </c>
      <c r="DH24" t="s">
        <v>3</v>
      </c>
      <c r="DI24" t="s">
        <v>3</v>
      </c>
      <c r="DJ24" t="s">
        <v>3</v>
      </c>
      <c r="DK24" t="s">
        <v>3</v>
      </c>
      <c r="DL24" t="s">
        <v>3</v>
      </c>
      <c r="DM24" t="s">
        <v>3</v>
      </c>
      <c r="DN24">
        <v>0</v>
      </c>
      <c r="DO24">
        <v>0</v>
      </c>
      <c r="DP24">
        <v>1</v>
      </c>
      <c r="DQ24">
        <v>1</v>
      </c>
      <c r="DU24">
        <v>1005</v>
      </c>
      <c r="DV24" t="s">
        <v>17</v>
      </c>
      <c r="DW24" t="s">
        <v>17</v>
      </c>
      <c r="DX24">
        <v>100</v>
      </c>
      <c r="DZ24" t="s">
        <v>3</v>
      </c>
      <c r="EA24" t="s">
        <v>3</v>
      </c>
      <c r="EB24" t="s">
        <v>3</v>
      </c>
      <c r="EC24" t="s">
        <v>3</v>
      </c>
      <c r="EE24">
        <v>48031645</v>
      </c>
      <c r="EF24">
        <v>2</v>
      </c>
      <c r="EG24" t="s">
        <v>19</v>
      </c>
      <c r="EH24">
        <v>8</v>
      </c>
      <c r="EI24" t="s">
        <v>20</v>
      </c>
      <c r="EJ24">
        <v>1</v>
      </c>
      <c r="EK24">
        <v>8001</v>
      </c>
      <c r="EL24" t="s">
        <v>20</v>
      </c>
      <c r="EM24" t="s">
        <v>21</v>
      </c>
      <c r="EO24" t="s">
        <v>3</v>
      </c>
      <c r="EQ24">
        <v>0</v>
      </c>
      <c r="ER24">
        <v>913.9</v>
      </c>
      <c r="ES24">
        <v>345.31</v>
      </c>
      <c r="ET24">
        <v>5.26</v>
      </c>
      <c r="EU24">
        <v>0.93</v>
      </c>
      <c r="EV24">
        <v>563.33000000000004</v>
      </c>
      <c r="EW24">
        <v>65.2</v>
      </c>
      <c r="EX24">
        <v>0.08</v>
      </c>
      <c r="EY24">
        <v>0</v>
      </c>
      <c r="FQ24">
        <v>0</v>
      </c>
      <c r="FR24">
        <v>0</v>
      </c>
      <c r="FS24">
        <v>0</v>
      </c>
      <c r="FX24">
        <v>110</v>
      </c>
      <c r="FY24">
        <v>69</v>
      </c>
      <c r="GA24" t="s">
        <v>3</v>
      </c>
      <c r="GD24">
        <v>1</v>
      </c>
      <c r="GF24">
        <v>1253925036</v>
      </c>
      <c r="GG24">
        <v>2</v>
      </c>
      <c r="GH24">
        <v>1</v>
      </c>
      <c r="GI24">
        <v>4</v>
      </c>
      <c r="GJ24">
        <v>0</v>
      </c>
      <c r="GK24">
        <v>0</v>
      </c>
      <c r="GL24">
        <f t="shared" ref="GL24:GL33" si="16">ROUND(IF(AND(BH24=3,BI24=3,FS24&lt;&gt;0),P24,0),0)</f>
        <v>0</v>
      </c>
      <c r="GM24">
        <f>ROUND(O24+X24+Y24,0)+GX24</f>
        <v>48</v>
      </c>
      <c r="GN24">
        <f t="shared" ref="GN24:GN33" si="17">IF(OR(BI24=0,BI24=1),GM24-GX24,0)</f>
        <v>48</v>
      </c>
      <c r="GO24">
        <f t="shared" ref="GO24:GO33" si="18">IF(BI24=2,GM24-GX24,0)</f>
        <v>0</v>
      </c>
      <c r="GP24">
        <f t="shared" ref="GP24:GP33" si="19">IF(BI24=4,GM24-GX24,0)</f>
        <v>0</v>
      </c>
      <c r="GR24">
        <v>0</v>
      </c>
      <c r="GS24">
        <v>3</v>
      </c>
      <c r="GT24">
        <v>0</v>
      </c>
      <c r="GU24" t="s">
        <v>3</v>
      </c>
      <c r="GV24">
        <f>ROUND((GT24),2)</f>
        <v>0</v>
      </c>
      <c r="GW24">
        <v>1</v>
      </c>
      <c r="GX24">
        <f>ROUND(HC24*I24,0)</f>
        <v>0</v>
      </c>
      <c r="HA24">
        <v>0</v>
      </c>
      <c r="HB24">
        <v>0</v>
      </c>
      <c r="HC24">
        <f>GV24*GW24</f>
        <v>0</v>
      </c>
      <c r="HE24" t="s">
        <v>3</v>
      </c>
      <c r="HF24" t="s">
        <v>3</v>
      </c>
      <c r="HI24">
        <f t="shared" ref="HI24:HI33" si="20">ROUND(R24*BS24,0)</f>
        <v>0</v>
      </c>
      <c r="HJ24">
        <f t="shared" ref="HJ24:HJ33" si="21">ROUND(S24*BA24,0)</f>
        <v>522</v>
      </c>
      <c r="HK24">
        <f>ROUND((((HJ24+HI24)*AT24)/100),0)</f>
        <v>574</v>
      </c>
      <c r="HL24">
        <f>ROUND((((HJ24+HI24)*AU24)/100),0)</f>
        <v>360</v>
      </c>
      <c r="HM24" t="s">
        <v>3</v>
      </c>
      <c r="HN24" t="s">
        <v>22</v>
      </c>
      <c r="HO24" t="s">
        <v>23</v>
      </c>
      <c r="HP24" t="s">
        <v>20</v>
      </c>
      <c r="HQ24" t="s">
        <v>20</v>
      </c>
      <c r="HS24">
        <v>0</v>
      </c>
      <c r="IK24">
        <v>0</v>
      </c>
    </row>
    <row r="25" spans="1:245" x14ac:dyDescent="0.2">
      <c r="A25">
        <v>17</v>
      </c>
      <c r="B25">
        <v>1</v>
      </c>
      <c r="C25">
        <f>ROW(SmtRes!A7)</f>
        <v>7</v>
      </c>
      <c r="D25">
        <f>ROW(EtalonRes!A7)</f>
        <v>7</v>
      </c>
      <c r="E25" t="s">
        <v>24</v>
      </c>
      <c r="F25" t="s">
        <v>25</v>
      </c>
      <c r="G25" t="s">
        <v>26</v>
      </c>
      <c r="H25" t="s">
        <v>17</v>
      </c>
      <c r="I25">
        <v>2.5000000000000001E-2</v>
      </c>
      <c r="J25">
        <v>0</v>
      </c>
      <c r="K25">
        <v>2.5000000000000001E-2</v>
      </c>
      <c r="O25">
        <f>ROUND(CP25,0)</f>
        <v>3</v>
      </c>
      <c r="P25">
        <f>ROUND(CQ25*I25,0)</f>
        <v>0</v>
      </c>
      <c r="Q25">
        <f>ROUND(CR25*I25,0)</f>
        <v>0</v>
      </c>
      <c r="R25">
        <f>ROUND(CS25*I25,0)</f>
        <v>0</v>
      </c>
      <c r="S25">
        <f>ROUND(CT25*I25,0)</f>
        <v>3</v>
      </c>
      <c r="T25">
        <f>ROUND(CU25*I25,0)</f>
        <v>0</v>
      </c>
      <c r="U25">
        <f>ROUND(CV25*I25,7)</f>
        <v>0.33</v>
      </c>
      <c r="V25">
        <f>ROUND(CW25*I25,7)</f>
        <v>0</v>
      </c>
      <c r="W25">
        <f>ROUND(CX25*I25,0)</f>
        <v>0</v>
      </c>
      <c r="X25">
        <f t="shared" si="14"/>
        <v>3</v>
      </c>
      <c r="Y25">
        <f t="shared" si="14"/>
        <v>2</v>
      </c>
      <c r="AA25">
        <v>60563954</v>
      </c>
      <c r="AB25">
        <f>ROUND((AC25+AD25+AF25),2)</f>
        <v>114.04</v>
      </c>
      <c r="AC25">
        <f>ROUND(((ES25*ROUND(2,7))),2)</f>
        <v>0</v>
      </c>
      <c r="AD25">
        <f>ROUND(((((ET25*ROUND(2,7)))-((EU25*ROUND(2,7))))+AE25),2)</f>
        <v>0</v>
      </c>
      <c r="AE25">
        <f>ROUND(((EU25*ROUND(2,7))),2)</f>
        <v>0</v>
      </c>
      <c r="AF25">
        <f>ROUND(((EV25*ROUND(2,7))),2)</f>
        <v>114.04</v>
      </c>
      <c r="AG25">
        <f>ROUND((AP25),2)</f>
        <v>0</v>
      </c>
      <c r="AH25">
        <f>((EW25*ROUND(2,7)))</f>
        <v>13.2</v>
      </c>
      <c r="AI25">
        <f>((EX25*ROUND(2,7)))</f>
        <v>0</v>
      </c>
      <c r="AJ25">
        <f>(AS25)</f>
        <v>0</v>
      </c>
      <c r="AK25">
        <v>57.02</v>
      </c>
      <c r="AL25">
        <v>0</v>
      </c>
      <c r="AM25">
        <v>0</v>
      </c>
      <c r="AN25">
        <v>0</v>
      </c>
      <c r="AO25">
        <v>57.02</v>
      </c>
      <c r="AP25">
        <v>0</v>
      </c>
      <c r="AQ25">
        <v>6.6</v>
      </c>
      <c r="AR25">
        <v>0</v>
      </c>
      <c r="AS25">
        <v>0</v>
      </c>
      <c r="AT25">
        <v>110</v>
      </c>
      <c r="AU25">
        <v>69</v>
      </c>
      <c r="AV25">
        <v>1</v>
      </c>
      <c r="AW25">
        <v>1</v>
      </c>
      <c r="AZ25">
        <v>1</v>
      </c>
      <c r="BA25">
        <v>37.299999999999997</v>
      </c>
      <c r="BB25">
        <v>1</v>
      </c>
      <c r="BC25">
        <v>1</v>
      </c>
      <c r="BD25" t="s">
        <v>3</v>
      </c>
      <c r="BE25" t="s">
        <v>3</v>
      </c>
      <c r="BF25" t="s">
        <v>3</v>
      </c>
      <c r="BG25" t="s">
        <v>3</v>
      </c>
      <c r="BH25">
        <v>0</v>
      </c>
      <c r="BI25">
        <v>1</v>
      </c>
      <c r="BJ25" t="s">
        <v>27</v>
      </c>
      <c r="BM25">
        <v>8001</v>
      </c>
      <c r="BN25">
        <v>0</v>
      </c>
      <c r="BO25" t="s">
        <v>3</v>
      </c>
      <c r="BP25">
        <v>0</v>
      </c>
      <c r="BQ25">
        <v>2</v>
      </c>
      <c r="BR25">
        <v>0</v>
      </c>
      <c r="BS25">
        <v>37.299999999999997</v>
      </c>
      <c r="BT25">
        <v>1</v>
      </c>
      <c r="BU25">
        <v>1</v>
      </c>
      <c r="BV25">
        <v>1</v>
      </c>
      <c r="BW25">
        <v>1</v>
      </c>
      <c r="BX25">
        <v>1</v>
      </c>
      <c r="BY25" t="s">
        <v>3</v>
      </c>
      <c r="BZ25">
        <v>110</v>
      </c>
      <c r="CA25">
        <v>69</v>
      </c>
      <c r="CB25" t="s">
        <v>3</v>
      </c>
      <c r="CE25">
        <v>0</v>
      </c>
      <c r="CF25">
        <v>0</v>
      </c>
      <c r="CG25">
        <v>0</v>
      </c>
      <c r="CM25">
        <v>0</v>
      </c>
      <c r="CN25" t="s">
        <v>3</v>
      </c>
      <c r="CO25">
        <v>0</v>
      </c>
      <c r="CP25">
        <f>(P25+Q25+S25)</f>
        <v>3</v>
      </c>
      <c r="CQ25">
        <f>AC25*BC25</f>
        <v>0</v>
      </c>
      <c r="CR25">
        <f>((((ET25*ROUND(2,7)))*BB25-((EU25*ROUND(2,7))))+AE25)</f>
        <v>0</v>
      </c>
      <c r="CS25">
        <f t="shared" si="15"/>
        <v>0</v>
      </c>
      <c r="CT25">
        <f t="shared" si="15"/>
        <v>114.04</v>
      </c>
      <c r="CU25">
        <f t="shared" si="15"/>
        <v>0</v>
      </c>
      <c r="CV25">
        <f t="shared" si="15"/>
        <v>13.2</v>
      </c>
      <c r="CW25">
        <f t="shared" si="15"/>
        <v>0</v>
      </c>
      <c r="CX25">
        <f t="shared" si="15"/>
        <v>0</v>
      </c>
      <c r="CY25">
        <f>(((S25+R25)*AT25)/100)</f>
        <v>3.3</v>
      </c>
      <c r="CZ25">
        <f>(((S25+R25)*AU25)/100)</f>
        <v>2.0699999999999998</v>
      </c>
      <c r="DC25" t="s">
        <v>3</v>
      </c>
      <c r="DD25" t="s">
        <v>28</v>
      </c>
      <c r="DE25" t="s">
        <v>28</v>
      </c>
      <c r="DF25" t="s">
        <v>28</v>
      </c>
      <c r="DG25" t="s">
        <v>28</v>
      </c>
      <c r="DH25" t="s">
        <v>3</v>
      </c>
      <c r="DI25" t="s">
        <v>28</v>
      </c>
      <c r="DJ25" t="s">
        <v>28</v>
      </c>
      <c r="DK25" t="s">
        <v>3</v>
      </c>
      <c r="DL25" t="s">
        <v>3</v>
      </c>
      <c r="DM25" t="s">
        <v>3</v>
      </c>
      <c r="DN25">
        <v>0</v>
      </c>
      <c r="DO25">
        <v>0</v>
      </c>
      <c r="DP25">
        <v>1</v>
      </c>
      <c r="DQ25">
        <v>1</v>
      </c>
      <c r="DU25">
        <v>1005</v>
      </c>
      <c r="DV25" t="s">
        <v>17</v>
      </c>
      <c r="DW25" t="s">
        <v>17</v>
      </c>
      <c r="DX25">
        <v>100</v>
      </c>
      <c r="DZ25" t="s">
        <v>3</v>
      </c>
      <c r="EA25" t="s">
        <v>3</v>
      </c>
      <c r="EB25" t="s">
        <v>3</v>
      </c>
      <c r="EC25" t="s">
        <v>3</v>
      </c>
      <c r="EE25">
        <v>48031645</v>
      </c>
      <c r="EF25">
        <v>2</v>
      </c>
      <c r="EG25" t="s">
        <v>19</v>
      </c>
      <c r="EH25">
        <v>8</v>
      </c>
      <c r="EI25" t="s">
        <v>20</v>
      </c>
      <c r="EJ25">
        <v>1</v>
      </c>
      <c r="EK25">
        <v>8001</v>
      </c>
      <c r="EL25" t="s">
        <v>20</v>
      </c>
      <c r="EM25" t="s">
        <v>21</v>
      </c>
      <c r="EO25" t="s">
        <v>3</v>
      </c>
      <c r="EQ25">
        <v>0</v>
      </c>
      <c r="ER25">
        <v>57.02</v>
      </c>
      <c r="ES25">
        <v>0</v>
      </c>
      <c r="ET25">
        <v>0</v>
      </c>
      <c r="EU25">
        <v>0</v>
      </c>
      <c r="EV25">
        <v>57.02</v>
      </c>
      <c r="EW25">
        <v>6.6</v>
      </c>
      <c r="EX25">
        <v>0</v>
      </c>
      <c r="EY25">
        <v>0</v>
      </c>
      <c r="FQ25">
        <v>0</v>
      </c>
      <c r="FR25">
        <v>0</v>
      </c>
      <c r="FS25">
        <v>0</v>
      </c>
      <c r="FX25">
        <v>110</v>
      </c>
      <c r="FY25">
        <v>69</v>
      </c>
      <c r="GA25" t="s">
        <v>3</v>
      </c>
      <c r="GD25">
        <v>1</v>
      </c>
      <c r="GF25">
        <v>-1310080114</v>
      </c>
      <c r="GG25">
        <v>2</v>
      </c>
      <c r="GH25">
        <v>1</v>
      </c>
      <c r="GI25">
        <v>4</v>
      </c>
      <c r="GJ25">
        <v>0</v>
      </c>
      <c r="GK25">
        <v>0</v>
      </c>
      <c r="GL25">
        <f t="shared" si="16"/>
        <v>0</v>
      </c>
      <c r="GM25">
        <f>ROUND(O25+X25+Y25,0)+GX25</f>
        <v>8</v>
      </c>
      <c r="GN25">
        <f t="shared" si="17"/>
        <v>8</v>
      </c>
      <c r="GO25">
        <f t="shared" si="18"/>
        <v>0</v>
      </c>
      <c r="GP25">
        <f t="shared" si="19"/>
        <v>0</v>
      </c>
      <c r="GR25">
        <v>0</v>
      </c>
      <c r="GS25">
        <v>3</v>
      </c>
      <c r="GT25">
        <v>0</v>
      </c>
      <c r="GU25" t="s">
        <v>28</v>
      </c>
      <c r="GV25">
        <f>ROUND(((GT25*ROUND(2,7))),2)</f>
        <v>0</v>
      </c>
      <c r="GW25">
        <v>1</v>
      </c>
      <c r="GX25">
        <f>ROUND(HC25*I25,0)</f>
        <v>0</v>
      </c>
      <c r="HA25">
        <v>0</v>
      </c>
      <c r="HB25">
        <v>0</v>
      </c>
      <c r="HC25">
        <f>GV25*GW25</f>
        <v>0</v>
      </c>
      <c r="HE25" t="s">
        <v>3</v>
      </c>
      <c r="HF25" t="s">
        <v>3</v>
      </c>
      <c r="HI25">
        <f t="shared" si="20"/>
        <v>0</v>
      </c>
      <c r="HJ25">
        <f t="shared" si="21"/>
        <v>112</v>
      </c>
      <c r="HK25">
        <f>ROUND((((HJ25+HI25)*AT25)/100),0)</f>
        <v>123</v>
      </c>
      <c r="HL25">
        <f>ROUND((((HJ25+HI25)*AU25)/100),0)</f>
        <v>77</v>
      </c>
      <c r="HM25" t="s">
        <v>3</v>
      </c>
      <c r="HN25" t="s">
        <v>22</v>
      </c>
      <c r="HO25" t="s">
        <v>23</v>
      </c>
      <c r="HP25" t="s">
        <v>20</v>
      </c>
      <c r="HQ25" t="s">
        <v>20</v>
      </c>
      <c r="HS25">
        <v>0</v>
      </c>
      <c r="IK25">
        <v>0</v>
      </c>
    </row>
    <row r="26" spans="1:245" x14ac:dyDescent="0.2">
      <c r="A26">
        <v>17</v>
      </c>
      <c r="B26">
        <v>1</v>
      </c>
      <c r="C26">
        <f>ROW(SmtRes!A31)</f>
        <v>31</v>
      </c>
      <c r="D26">
        <f>ROW(EtalonRes!A31)</f>
        <v>31</v>
      </c>
      <c r="E26" t="s">
        <v>29</v>
      </c>
      <c r="F26" t="s">
        <v>30</v>
      </c>
      <c r="G26" t="s">
        <v>31</v>
      </c>
      <c r="H26" t="s">
        <v>32</v>
      </c>
      <c r="I26">
        <v>5.91</v>
      </c>
      <c r="J26">
        <v>0</v>
      </c>
      <c r="K26">
        <v>5.91</v>
      </c>
      <c r="O26">
        <f>ROUND(CP26,0)</f>
        <v>5753</v>
      </c>
      <c r="P26">
        <f>ROUND(CQ26*I26,0)</f>
        <v>0</v>
      </c>
      <c r="Q26">
        <f>ROUND(CR26*I26,0)</f>
        <v>4689</v>
      </c>
      <c r="R26">
        <f>ROUND(CS26*I26,0)</f>
        <v>530</v>
      </c>
      <c r="S26">
        <f>ROUND(CT26*I26,0)</f>
        <v>1064</v>
      </c>
      <c r="T26">
        <f>ROUND(CU26*I26,0)</f>
        <v>0</v>
      </c>
      <c r="U26">
        <f>ROUND(CV26*I26,7)</f>
        <v>102.80445</v>
      </c>
      <c r="V26">
        <f>ROUND(CW26*I26,7)</f>
        <v>39.342869999999998</v>
      </c>
      <c r="W26">
        <f>ROUND(CX26*I26,0)</f>
        <v>0</v>
      </c>
      <c r="X26">
        <f t="shared" si="14"/>
        <v>1482</v>
      </c>
      <c r="Y26">
        <f t="shared" si="14"/>
        <v>988</v>
      </c>
      <c r="AA26">
        <v>60563954</v>
      </c>
      <c r="AB26">
        <f>ROUND((AC26+AD26+AF26),2)</f>
        <v>973.39</v>
      </c>
      <c r="AC26">
        <f>ROUND(((ES26*ROUND(0,7))),2)</f>
        <v>0</v>
      </c>
      <c r="AD26">
        <f>ROUND(((((ET26*ROUND(0.7,7)))-((EU26*ROUND(0.7,7))))+AE26),2)</f>
        <v>793.35</v>
      </c>
      <c r="AE26">
        <f>ROUND(((EU26*ROUND(0.7,7))),2)</f>
        <v>89.74</v>
      </c>
      <c r="AF26">
        <f>ROUND(((EV26*ROUND(0.7,7))),2)</f>
        <v>180.04</v>
      </c>
      <c r="AG26">
        <f>ROUND((AP26),2)</f>
        <v>0</v>
      </c>
      <c r="AH26">
        <f>((EW26*ROUND(0.7,7)))</f>
        <v>17.395</v>
      </c>
      <c r="AI26">
        <f>((EX26*ROUND(0.7,7)))</f>
        <v>6.6569999999999991</v>
      </c>
      <c r="AJ26">
        <f>(AS26)</f>
        <v>0</v>
      </c>
      <c r="AK26">
        <v>1500.76</v>
      </c>
      <c r="AL26">
        <v>110.2</v>
      </c>
      <c r="AM26">
        <v>1133.3599999999999</v>
      </c>
      <c r="AN26">
        <v>128.19999999999999</v>
      </c>
      <c r="AO26">
        <v>257.2</v>
      </c>
      <c r="AP26">
        <v>0</v>
      </c>
      <c r="AQ26">
        <v>24.85</v>
      </c>
      <c r="AR26">
        <v>9.51</v>
      </c>
      <c r="AS26">
        <v>0</v>
      </c>
      <c r="AT26">
        <v>93</v>
      </c>
      <c r="AU26">
        <v>62</v>
      </c>
      <c r="AV26">
        <v>1</v>
      </c>
      <c r="AW26">
        <v>1</v>
      </c>
      <c r="AZ26">
        <v>1</v>
      </c>
      <c r="BA26">
        <v>37.299999999999997</v>
      </c>
      <c r="BB26">
        <v>1</v>
      </c>
      <c r="BC26">
        <v>1</v>
      </c>
      <c r="BD26" t="s">
        <v>3</v>
      </c>
      <c r="BE26" t="s">
        <v>3</v>
      </c>
      <c r="BF26" t="s">
        <v>3</v>
      </c>
      <c r="BG26" t="s">
        <v>3</v>
      </c>
      <c r="BH26">
        <v>0</v>
      </c>
      <c r="BI26">
        <v>1</v>
      </c>
      <c r="BJ26" t="s">
        <v>33</v>
      </c>
      <c r="BM26">
        <v>9001</v>
      </c>
      <c r="BN26">
        <v>0</v>
      </c>
      <c r="BO26" t="s">
        <v>3</v>
      </c>
      <c r="BP26">
        <v>0</v>
      </c>
      <c r="BQ26">
        <v>2</v>
      </c>
      <c r="BR26">
        <v>0</v>
      </c>
      <c r="BS26">
        <v>37.299999999999997</v>
      </c>
      <c r="BT26">
        <v>1</v>
      </c>
      <c r="BU26">
        <v>1</v>
      </c>
      <c r="BV26">
        <v>1</v>
      </c>
      <c r="BW26">
        <v>1</v>
      </c>
      <c r="BX26">
        <v>1</v>
      </c>
      <c r="BY26" t="s">
        <v>3</v>
      </c>
      <c r="BZ26">
        <v>93</v>
      </c>
      <c r="CA26">
        <v>62</v>
      </c>
      <c r="CB26" t="s">
        <v>3</v>
      </c>
      <c r="CE26">
        <v>0</v>
      </c>
      <c r="CF26">
        <v>0</v>
      </c>
      <c r="CG26">
        <v>0</v>
      </c>
      <c r="CM26">
        <v>0</v>
      </c>
      <c r="CN26" t="s">
        <v>34</v>
      </c>
      <c r="CO26">
        <v>0</v>
      </c>
      <c r="CP26">
        <f>(P26+Q26+S26)</f>
        <v>5753</v>
      </c>
      <c r="CQ26">
        <f>AC26*BC26</f>
        <v>0</v>
      </c>
      <c r="CR26">
        <f>((((ET26*ROUND(0.7,7)))*BB26-((EU26*ROUND(0.7,7))))+AE26)</f>
        <v>793.35199999999986</v>
      </c>
      <c r="CS26">
        <f t="shared" si="15"/>
        <v>89.74</v>
      </c>
      <c r="CT26">
        <f t="shared" si="15"/>
        <v>180.04</v>
      </c>
      <c r="CU26">
        <f t="shared" si="15"/>
        <v>0</v>
      </c>
      <c r="CV26">
        <f t="shared" si="15"/>
        <v>17.395</v>
      </c>
      <c r="CW26">
        <f t="shared" si="15"/>
        <v>6.6569999999999991</v>
      </c>
      <c r="CX26">
        <f t="shared" si="15"/>
        <v>0</v>
      </c>
      <c r="CY26">
        <f>(((S26+R26)*AT26)/100)</f>
        <v>1482.42</v>
      </c>
      <c r="CZ26">
        <f>(((S26+R26)*AU26)/100)</f>
        <v>988.28</v>
      </c>
      <c r="DB26">
        <v>1</v>
      </c>
      <c r="DC26" t="s">
        <v>3</v>
      </c>
      <c r="DD26" t="s">
        <v>35</v>
      </c>
      <c r="DE26" t="s">
        <v>36</v>
      </c>
      <c r="DF26" t="s">
        <v>36</v>
      </c>
      <c r="DG26" t="s">
        <v>36</v>
      </c>
      <c r="DH26" t="s">
        <v>3</v>
      </c>
      <c r="DI26" t="s">
        <v>36</v>
      </c>
      <c r="DJ26" t="s">
        <v>36</v>
      </c>
      <c r="DK26" t="s">
        <v>3</v>
      </c>
      <c r="DL26" t="s">
        <v>3</v>
      </c>
      <c r="DM26" t="s">
        <v>3</v>
      </c>
      <c r="DN26">
        <v>0</v>
      </c>
      <c r="DO26">
        <v>0</v>
      </c>
      <c r="DP26">
        <v>1</v>
      </c>
      <c r="DQ26">
        <v>1</v>
      </c>
      <c r="DU26">
        <v>1009</v>
      </c>
      <c r="DV26" t="s">
        <v>32</v>
      </c>
      <c r="DW26" t="s">
        <v>32</v>
      </c>
      <c r="DX26">
        <v>1000</v>
      </c>
      <c r="DZ26" t="s">
        <v>3</v>
      </c>
      <c r="EA26" t="s">
        <v>3</v>
      </c>
      <c r="EB26" t="s">
        <v>3</v>
      </c>
      <c r="EC26" t="s">
        <v>3</v>
      </c>
      <c r="EE26">
        <v>48031647</v>
      </c>
      <c r="EF26">
        <v>2</v>
      </c>
      <c r="EG26" t="s">
        <v>19</v>
      </c>
      <c r="EH26">
        <v>9</v>
      </c>
      <c r="EI26" t="s">
        <v>37</v>
      </c>
      <c r="EJ26">
        <v>1</v>
      </c>
      <c r="EK26">
        <v>9001</v>
      </c>
      <c r="EL26" t="s">
        <v>37</v>
      </c>
      <c r="EM26" t="s">
        <v>38</v>
      </c>
      <c r="EO26" t="s">
        <v>39</v>
      </c>
      <c r="EQ26">
        <v>0</v>
      </c>
      <c r="ER26">
        <v>1500.76</v>
      </c>
      <c r="ES26">
        <v>110.2</v>
      </c>
      <c r="ET26">
        <v>1133.3599999999999</v>
      </c>
      <c r="EU26">
        <v>128.19999999999999</v>
      </c>
      <c r="EV26">
        <v>257.2</v>
      </c>
      <c r="EW26">
        <v>24.85</v>
      </c>
      <c r="EX26">
        <v>9.51</v>
      </c>
      <c r="EY26">
        <v>0</v>
      </c>
      <c r="FQ26">
        <v>0</v>
      </c>
      <c r="FR26">
        <v>0</v>
      </c>
      <c r="FS26">
        <v>0</v>
      </c>
      <c r="FX26">
        <v>93</v>
      </c>
      <c r="FY26">
        <v>62</v>
      </c>
      <c r="GA26" t="s">
        <v>3</v>
      </c>
      <c r="GD26">
        <v>1</v>
      </c>
      <c r="GF26">
        <v>-1320815066</v>
      </c>
      <c r="GG26">
        <v>2</v>
      </c>
      <c r="GH26">
        <v>1</v>
      </c>
      <c r="GI26">
        <v>4</v>
      </c>
      <c r="GJ26">
        <v>0</v>
      </c>
      <c r="GK26">
        <v>0</v>
      </c>
      <c r="GL26">
        <f t="shared" si="16"/>
        <v>0</v>
      </c>
      <c r="GM26">
        <f>ROUND(O26+X26+Y26,0)+GX26</f>
        <v>8223</v>
      </c>
      <c r="GN26">
        <f t="shared" si="17"/>
        <v>8223</v>
      </c>
      <c r="GO26">
        <f t="shared" si="18"/>
        <v>0</v>
      </c>
      <c r="GP26">
        <f t="shared" si="19"/>
        <v>0</v>
      </c>
      <c r="GR26">
        <v>0</v>
      </c>
      <c r="GS26">
        <v>3</v>
      </c>
      <c r="GT26">
        <v>0</v>
      </c>
      <c r="GU26" t="s">
        <v>3</v>
      </c>
      <c r="GV26">
        <f>ROUND((GT26),2)</f>
        <v>0</v>
      </c>
      <c r="GW26">
        <v>1</v>
      </c>
      <c r="GX26">
        <f>ROUND(HC26*I26,0)</f>
        <v>0</v>
      </c>
      <c r="HA26">
        <v>0</v>
      </c>
      <c r="HB26">
        <v>0</v>
      </c>
      <c r="HC26">
        <f>GV26*GW26</f>
        <v>0</v>
      </c>
      <c r="HE26" t="s">
        <v>3</v>
      </c>
      <c r="HF26" t="s">
        <v>3</v>
      </c>
      <c r="HI26">
        <f t="shared" si="20"/>
        <v>19769</v>
      </c>
      <c r="HJ26">
        <f t="shared" si="21"/>
        <v>39687</v>
      </c>
      <c r="HK26">
        <f>ROUND((((HJ26+HI26)*AT26)/100),0)</f>
        <v>55294</v>
      </c>
      <c r="HL26">
        <f>ROUND((((HJ26+HI26)*AU26)/100),0)</f>
        <v>36863</v>
      </c>
      <c r="HM26" t="s">
        <v>3</v>
      </c>
      <c r="HN26" t="s">
        <v>40</v>
      </c>
      <c r="HO26" t="s">
        <v>41</v>
      </c>
      <c r="HP26" t="s">
        <v>37</v>
      </c>
      <c r="HQ26" t="s">
        <v>37</v>
      </c>
      <c r="HS26">
        <v>0</v>
      </c>
      <c r="IK26">
        <v>0</v>
      </c>
    </row>
    <row r="27" spans="1:245" x14ac:dyDescent="0.2">
      <c r="A27">
        <v>18</v>
      </c>
      <c r="B27">
        <v>1</v>
      </c>
      <c r="C27">
        <v>25</v>
      </c>
      <c r="E27" t="s">
        <v>42</v>
      </c>
      <c r="F27" t="s">
        <v>43</v>
      </c>
      <c r="G27" t="s">
        <v>44</v>
      </c>
      <c r="H27" t="s">
        <v>32</v>
      </c>
      <c r="I27">
        <f>I26*J27</f>
        <v>0</v>
      </c>
      <c r="J27">
        <v>0</v>
      </c>
      <c r="K27">
        <v>1</v>
      </c>
      <c r="O27">
        <f>ROUND(CP27,0)</f>
        <v>0</v>
      </c>
      <c r="P27">
        <f>ROUND(CQ27*I27,0)</f>
        <v>0</v>
      </c>
      <c r="Q27">
        <f>ROUND(CR27*I27,0)</f>
        <v>0</v>
      </c>
      <c r="R27">
        <f>ROUND(CS27*I27,0)</f>
        <v>0</v>
      </c>
      <c r="S27">
        <f>ROUND(CT27*I27,0)</f>
        <v>0</v>
      </c>
      <c r="T27">
        <f>ROUND(CU27*I27,0)</f>
        <v>0</v>
      </c>
      <c r="U27">
        <f>ROUND(CV27*I27,7)</f>
        <v>0</v>
      </c>
      <c r="V27">
        <f>ROUND(CW27*I27,7)</f>
        <v>0</v>
      </c>
      <c r="W27">
        <f>ROUND(CX27*I27,0)</f>
        <v>0</v>
      </c>
      <c r="X27">
        <f t="shared" si="14"/>
        <v>0</v>
      </c>
      <c r="Y27">
        <f t="shared" si="14"/>
        <v>0</v>
      </c>
      <c r="AA27">
        <v>60563954</v>
      </c>
      <c r="AB27">
        <f>ROUND((AC27+AD27+AF27),2)</f>
        <v>0</v>
      </c>
      <c r="AC27">
        <f>ROUND((ES27),2)</f>
        <v>0</v>
      </c>
      <c r="AD27">
        <f>ROUND((((ET27)-(EU27))+AE27),2)</f>
        <v>0</v>
      </c>
      <c r="AE27">
        <f>ROUND((EU27),2)</f>
        <v>0</v>
      </c>
      <c r="AF27">
        <f>ROUND((EV27),2)</f>
        <v>0</v>
      </c>
      <c r="AG27">
        <f>ROUND((AP27),2)</f>
        <v>0</v>
      </c>
      <c r="AH27">
        <f>(EW27)</f>
        <v>0</v>
      </c>
      <c r="AI27">
        <f>(EX27)</f>
        <v>0</v>
      </c>
      <c r="AJ27">
        <f>(AS27)</f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93</v>
      </c>
      <c r="AU27">
        <v>62</v>
      </c>
      <c r="AV27">
        <v>1</v>
      </c>
      <c r="AW27">
        <v>1</v>
      </c>
      <c r="AZ27">
        <v>1</v>
      </c>
      <c r="BA27">
        <v>1</v>
      </c>
      <c r="BB27">
        <v>1</v>
      </c>
      <c r="BC27">
        <v>1</v>
      </c>
      <c r="BD27" t="s">
        <v>3</v>
      </c>
      <c r="BE27" t="s">
        <v>3</v>
      </c>
      <c r="BF27" t="s">
        <v>3</v>
      </c>
      <c r="BG27" t="s">
        <v>3</v>
      </c>
      <c r="BH27">
        <v>3</v>
      </c>
      <c r="BI27">
        <v>1</v>
      </c>
      <c r="BJ27" t="s">
        <v>3</v>
      </c>
      <c r="BM27">
        <v>9001</v>
      </c>
      <c r="BN27">
        <v>0</v>
      </c>
      <c r="BO27" t="s">
        <v>3</v>
      </c>
      <c r="BP27">
        <v>0</v>
      </c>
      <c r="BQ27">
        <v>2</v>
      </c>
      <c r="BR27">
        <v>0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 t="s">
        <v>3</v>
      </c>
      <c r="BZ27">
        <v>93</v>
      </c>
      <c r="CA27">
        <v>62</v>
      </c>
      <c r="CB27" t="s">
        <v>3</v>
      </c>
      <c r="CE27">
        <v>0</v>
      </c>
      <c r="CF27">
        <v>0</v>
      </c>
      <c r="CG27">
        <v>0</v>
      </c>
      <c r="CM27">
        <v>0</v>
      </c>
      <c r="CN27" t="s">
        <v>34</v>
      </c>
      <c r="CO27">
        <v>0</v>
      </c>
      <c r="CP27">
        <f>(P27+Q27+S27)</f>
        <v>0</v>
      </c>
      <c r="CQ27">
        <f>AC27*BC27</f>
        <v>0</v>
      </c>
      <c r="CR27">
        <f>(((ET27)*BB27-(EU27))+AE27)</f>
        <v>0</v>
      </c>
      <c r="CS27">
        <f t="shared" si="15"/>
        <v>0</v>
      </c>
      <c r="CT27">
        <f t="shared" si="15"/>
        <v>0</v>
      </c>
      <c r="CU27">
        <f t="shared" si="15"/>
        <v>0</v>
      </c>
      <c r="CV27">
        <f t="shared" si="15"/>
        <v>0</v>
      </c>
      <c r="CW27">
        <f t="shared" si="15"/>
        <v>0</v>
      </c>
      <c r="CX27">
        <f t="shared" si="15"/>
        <v>0</v>
      </c>
      <c r="CY27">
        <f>(((S27+R27)*AT27)/100)</f>
        <v>0</v>
      </c>
      <c r="CZ27">
        <f>(((S27+R27)*AU27)/100)</f>
        <v>0</v>
      </c>
      <c r="DC27" t="s">
        <v>3</v>
      </c>
      <c r="DD27" t="s">
        <v>3</v>
      </c>
      <c r="DE27" t="s">
        <v>3</v>
      </c>
      <c r="DF27" t="s">
        <v>3</v>
      </c>
      <c r="DG27" t="s">
        <v>3</v>
      </c>
      <c r="DH27" t="s">
        <v>3</v>
      </c>
      <c r="DI27" t="s">
        <v>3</v>
      </c>
      <c r="DJ27" t="s">
        <v>3</v>
      </c>
      <c r="DK27" t="s">
        <v>3</v>
      </c>
      <c r="DL27" t="s">
        <v>3</v>
      </c>
      <c r="DM27" t="s">
        <v>3</v>
      </c>
      <c r="DN27">
        <v>0</v>
      </c>
      <c r="DO27">
        <v>0</v>
      </c>
      <c r="DP27">
        <v>1</v>
      </c>
      <c r="DQ27">
        <v>1</v>
      </c>
      <c r="DU27">
        <v>1009</v>
      </c>
      <c r="DV27" t="s">
        <v>32</v>
      </c>
      <c r="DW27" t="s">
        <v>32</v>
      </c>
      <c r="DX27">
        <v>1000</v>
      </c>
      <c r="DZ27" t="s">
        <v>3</v>
      </c>
      <c r="EA27" t="s">
        <v>3</v>
      </c>
      <c r="EB27" t="s">
        <v>3</v>
      </c>
      <c r="EC27" t="s">
        <v>3</v>
      </c>
      <c r="EE27">
        <v>48031647</v>
      </c>
      <c r="EF27">
        <v>2</v>
      </c>
      <c r="EG27" t="s">
        <v>19</v>
      </c>
      <c r="EH27">
        <v>9</v>
      </c>
      <c r="EI27" t="s">
        <v>37</v>
      </c>
      <c r="EJ27">
        <v>1</v>
      </c>
      <c r="EK27">
        <v>9001</v>
      </c>
      <c r="EL27" t="s">
        <v>37</v>
      </c>
      <c r="EM27" t="s">
        <v>38</v>
      </c>
      <c r="EO27" t="s">
        <v>39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FQ27">
        <v>0</v>
      </c>
      <c r="FR27">
        <v>0</v>
      </c>
      <c r="FS27">
        <v>0</v>
      </c>
      <c r="FX27">
        <v>93</v>
      </c>
      <c r="FY27">
        <v>62</v>
      </c>
      <c r="GA27" t="s">
        <v>3</v>
      </c>
      <c r="GD27">
        <v>1</v>
      </c>
      <c r="GF27">
        <v>748648226</v>
      </c>
      <c r="GG27">
        <v>2</v>
      </c>
      <c r="GH27">
        <v>1</v>
      </c>
      <c r="GI27">
        <v>4</v>
      </c>
      <c r="GJ27">
        <v>0</v>
      </c>
      <c r="GK27">
        <v>0</v>
      </c>
      <c r="GL27">
        <f t="shared" si="16"/>
        <v>0</v>
      </c>
      <c r="GM27">
        <f>ROUND(O27+X27+Y27,0)+GX27</f>
        <v>0</v>
      </c>
      <c r="GN27">
        <f t="shared" si="17"/>
        <v>0</v>
      </c>
      <c r="GO27">
        <f t="shared" si="18"/>
        <v>0</v>
      </c>
      <c r="GP27">
        <f t="shared" si="19"/>
        <v>0</v>
      </c>
      <c r="GR27">
        <v>0</v>
      </c>
      <c r="GS27">
        <v>3</v>
      </c>
      <c r="GT27">
        <v>0</v>
      </c>
      <c r="GU27" t="s">
        <v>3</v>
      </c>
      <c r="GV27">
        <f>ROUND((GT27),2)</f>
        <v>0</v>
      </c>
      <c r="GW27">
        <v>1</v>
      </c>
      <c r="GX27">
        <f>ROUND(HC27*I27,0)</f>
        <v>0</v>
      </c>
      <c r="HA27">
        <v>0</v>
      </c>
      <c r="HB27">
        <v>0</v>
      </c>
      <c r="HC27">
        <f>GV27*GW27</f>
        <v>0</v>
      </c>
      <c r="HE27" t="s">
        <v>3</v>
      </c>
      <c r="HF27" t="s">
        <v>3</v>
      </c>
      <c r="HI27">
        <f t="shared" si="20"/>
        <v>0</v>
      </c>
      <c r="HJ27">
        <f t="shared" si="21"/>
        <v>0</v>
      </c>
      <c r="HK27">
        <f>ROUND((((HJ27+HI27)*AT27)/100),0)</f>
        <v>0</v>
      </c>
      <c r="HL27">
        <f>ROUND((((HJ27+HI27)*AU27)/100),0)</f>
        <v>0</v>
      </c>
      <c r="HM27" t="s">
        <v>45</v>
      </c>
      <c r="HN27" t="s">
        <v>40</v>
      </c>
      <c r="HO27" t="s">
        <v>41</v>
      </c>
      <c r="HP27" t="s">
        <v>37</v>
      </c>
      <c r="HQ27" t="s">
        <v>37</v>
      </c>
      <c r="HS27">
        <v>0</v>
      </c>
      <c r="IK27">
        <v>0</v>
      </c>
    </row>
    <row r="28" spans="1:245" x14ac:dyDescent="0.2">
      <c r="A28">
        <v>17</v>
      </c>
      <c r="B28">
        <v>1</v>
      </c>
      <c r="E28" t="s">
        <v>46</v>
      </c>
      <c r="F28" t="s">
        <v>47</v>
      </c>
      <c r="G28" t="s">
        <v>48</v>
      </c>
      <c r="H28" t="s">
        <v>49</v>
      </c>
      <c r="I28">
        <v>5.91</v>
      </c>
      <c r="J28">
        <v>0</v>
      </c>
      <c r="K28">
        <v>5.91</v>
      </c>
      <c r="O28">
        <f>0</f>
        <v>0</v>
      </c>
      <c r="P28">
        <f>0</f>
        <v>0</v>
      </c>
      <c r="Q28">
        <f>0</f>
        <v>0</v>
      </c>
      <c r="R28">
        <f>0</f>
        <v>0</v>
      </c>
      <c r="S28">
        <f>0</f>
        <v>0</v>
      </c>
      <c r="T28">
        <f>0</f>
        <v>0</v>
      </c>
      <c r="U28">
        <f>0</f>
        <v>0</v>
      </c>
      <c r="V28">
        <f>0</f>
        <v>0</v>
      </c>
      <c r="W28">
        <f>0</f>
        <v>0</v>
      </c>
      <c r="X28">
        <f>0</f>
        <v>0</v>
      </c>
      <c r="Y28">
        <f>0</f>
        <v>0</v>
      </c>
      <c r="AA28">
        <v>60563954</v>
      </c>
      <c r="AB28">
        <f>ROUND((AK28),2)</f>
        <v>10.130000000000001</v>
      </c>
      <c r="AC28">
        <f>0</f>
        <v>0</v>
      </c>
      <c r="AD28">
        <f>0</f>
        <v>0</v>
      </c>
      <c r="AE28">
        <f>0</f>
        <v>0</v>
      </c>
      <c r="AF28">
        <f>0</f>
        <v>0</v>
      </c>
      <c r="AG28">
        <f>0</f>
        <v>0</v>
      </c>
      <c r="AH28">
        <f>0</f>
        <v>0</v>
      </c>
      <c r="AI28">
        <f>0</f>
        <v>0</v>
      </c>
      <c r="AJ28">
        <f>0</f>
        <v>0</v>
      </c>
      <c r="AK28">
        <v>10.130000000000001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1</v>
      </c>
      <c r="AZ28">
        <v>14.38</v>
      </c>
      <c r="BA28">
        <v>1</v>
      </c>
      <c r="BB28">
        <v>1</v>
      </c>
      <c r="BC28">
        <v>1</v>
      </c>
      <c r="BD28" t="s">
        <v>3</v>
      </c>
      <c r="BE28" t="s">
        <v>3</v>
      </c>
      <c r="BF28" t="s">
        <v>3</v>
      </c>
      <c r="BG28" t="s">
        <v>3</v>
      </c>
      <c r="BH28">
        <v>0</v>
      </c>
      <c r="BI28">
        <v>1</v>
      </c>
      <c r="BJ28" t="s">
        <v>50</v>
      </c>
      <c r="BM28">
        <v>700004</v>
      </c>
      <c r="BN28">
        <v>0</v>
      </c>
      <c r="BO28" t="s">
        <v>3</v>
      </c>
      <c r="BP28">
        <v>0</v>
      </c>
      <c r="BQ28">
        <v>19</v>
      </c>
      <c r="BR28">
        <v>0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 t="s">
        <v>3</v>
      </c>
      <c r="BZ28">
        <v>0</v>
      </c>
      <c r="CA28">
        <v>0</v>
      </c>
      <c r="CB28" t="s">
        <v>3</v>
      </c>
      <c r="CE28">
        <v>0</v>
      </c>
      <c r="CF28">
        <v>0</v>
      </c>
      <c r="CG28">
        <v>0</v>
      </c>
      <c r="CM28">
        <v>0</v>
      </c>
      <c r="CN28" t="s">
        <v>3</v>
      </c>
      <c r="CO28">
        <v>0</v>
      </c>
      <c r="CP28">
        <f>AB28</f>
        <v>10.130000000000001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C28" t="s">
        <v>3</v>
      </c>
      <c r="DD28" t="s">
        <v>3</v>
      </c>
      <c r="DE28" t="s">
        <v>3</v>
      </c>
      <c r="DF28" t="s">
        <v>3</v>
      </c>
      <c r="DG28" t="s">
        <v>3</v>
      </c>
      <c r="DH28" t="s">
        <v>3</v>
      </c>
      <c r="DI28" t="s">
        <v>3</v>
      </c>
      <c r="DJ28" t="s">
        <v>3</v>
      </c>
      <c r="DK28" t="s">
        <v>3</v>
      </c>
      <c r="DL28" t="s">
        <v>3</v>
      </c>
      <c r="DM28" t="s">
        <v>3</v>
      </c>
      <c r="DN28">
        <v>0</v>
      </c>
      <c r="DO28">
        <v>0</v>
      </c>
      <c r="DP28">
        <v>1</v>
      </c>
      <c r="DQ28">
        <v>1</v>
      </c>
      <c r="DU28">
        <v>1013</v>
      </c>
      <c r="DV28" t="s">
        <v>49</v>
      </c>
      <c r="DW28" t="s">
        <v>49</v>
      </c>
      <c r="DX28">
        <v>1</v>
      </c>
      <c r="DZ28" t="s">
        <v>3</v>
      </c>
      <c r="EA28" t="s">
        <v>3</v>
      </c>
      <c r="EB28" t="s">
        <v>3</v>
      </c>
      <c r="EC28" t="s">
        <v>3</v>
      </c>
      <c r="EE28">
        <v>48031897</v>
      </c>
      <c r="EF28">
        <v>19</v>
      </c>
      <c r="EG28" t="s">
        <v>51</v>
      </c>
      <c r="EH28">
        <v>106</v>
      </c>
      <c r="EI28" t="s">
        <v>51</v>
      </c>
      <c r="EJ28">
        <v>1</v>
      </c>
      <c r="EK28">
        <v>700004</v>
      </c>
      <c r="EL28" t="s">
        <v>51</v>
      </c>
      <c r="EM28" t="s">
        <v>52</v>
      </c>
      <c r="EO28" t="s">
        <v>3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FQ28">
        <v>0</v>
      </c>
      <c r="FR28">
        <v>0</v>
      </c>
      <c r="FS28">
        <v>0</v>
      </c>
      <c r="FX28">
        <v>0</v>
      </c>
      <c r="FY28">
        <v>0</v>
      </c>
      <c r="GA28" t="s">
        <v>3</v>
      </c>
      <c r="GD28">
        <v>1</v>
      </c>
      <c r="GF28">
        <v>-1456728225</v>
      </c>
      <c r="GG28">
        <v>2</v>
      </c>
      <c r="GH28">
        <v>1</v>
      </c>
      <c r="GI28">
        <v>4</v>
      </c>
      <c r="GJ28">
        <v>2</v>
      </c>
      <c r="GK28">
        <v>0</v>
      </c>
      <c r="GL28">
        <f t="shared" si="16"/>
        <v>0</v>
      </c>
      <c r="GM28">
        <f>ROUND(CP28*I28,0)</f>
        <v>60</v>
      </c>
      <c r="GN28">
        <f t="shared" si="17"/>
        <v>60</v>
      </c>
      <c r="GO28">
        <f t="shared" si="18"/>
        <v>0</v>
      </c>
      <c r="GP28">
        <f t="shared" si="19"/>
        <v>0</v>
      </c>
      <c r="GR28">
        <v>0</v>
      </c>
      <c r="GS28">
        <v>3</v>
      </c>
      <c r="GT28">
        <v>0</v>
      </c>
      <c r="GU28" t="s">
        <v>3</v>
      </c>
      <c r="GV28">
        <f>0</f>
        <v>0</v>
      </c>
      <c r="GW28">
        <v>1</v>
      </c>
      <c r="GX28">
        <f>0</f>
        <v>0</v>
      </c>
      <c r="HA28">
        <v>0</v>
      </c>
      <c r="HB28">
        <v>0</v>
      </c>
      <c r="HC28">
        <v>0</v>
      </c>
      <c r="HD28">
        <f>GM28</f>
        <v>60</v>
      </c>
      <c r="HE28" t="s">
        <v>3</v>
      </c>
      <c r="HF28" t="s">
        <v>3</v>
      </c>
      <c r="HI28">
        <f t="shared" si="20"/>
        <v>0</v>
      </c>
      <c r="HJ28">
        <f t="shared" si="21"/>
        <v>0</v>
      </c>
      <c r="HM28" t="s">
        <v>3</v>
      </c>
      <c r="HN28" t="s">
        <v>3</v>
      </c>
      <c r="HO28" t="s">
        <v>3</v>
      </c>
      <c r="HP28" t="s">
        <v>3</v>
      </c>
      <c r="HQ28" t="s">
        <v>3</v>
      </c>
      <c r="HR28">
        <f>ROUND(GM28*AZ28,0)</f>
        <v>863</v>
      </c>
      <c r="HS28">
        <v>0</v>
      </c>
      <c r="IK28">
        <v>0</v>
      </c>
    </row>
    <row r="29" spans="1:245" x14ac:dyDescent="0.2">
      <c r="A29">
        <v>17</v>
      </c>
      <c r="B29">
        <v>1</v>
      </c>
      <c r="E29" t="s">
        <v>53</v>
      </c>
      <c r="F29" t="s">
        <v>54</v>
      </c>
      <c r="G29" t="s">
        <v>55</v>
      </c>
      <c r="H29" t="s">
        <v>49</v>
      </c>
      <c r="I29">
        <v>5.91</v>
      </c>
      <c r="J29">
        <v>0</v>
      </c>
      <c r="K29">
        <v>5.91</v>
      </c>
      <c r="O29">
        <f>0</f>
        <v>0</v>
      </c>
      <c r="P29">
        <f>0</f>
        <v>0</v>
      </c>
      <c r="Q29">
        <f>0</f>
        <v>0</v>
      </c>
      <c r="R29">
        <f>0</f>
        <v>0</v>
      </c>
      <c r="S29">
        <f>0</f>
        <v>0</v>
      </c>
      <c r="T29">
        <f>0</f>
        <v>0</v>
      </c>
      <c r="U29">
        <f>0</f>
        <v>0</v>
      </c>
      <c r="V29">
        <f>0</f>
        <v>0</v>
      </c>
      <c r="W29">
        <f>0</f>
        <v>0</v>
      </c>
      <c r="X29">
        <f>0</f>
        <v>0</v>
      </c>
      <c r="Y29">
        <f>0</f>
        <v>0</v>
      </c>
      <c r="AA29">
        <v>60563954</v>
      </c>
      <c r="AB29">
        <f>ROUND((AK29),2)</f>
        <v>12.65</v>
      </c>
      <c r="AC29">
        <f>0</f>
        <v>0</v>
      </c>
      <c r="AD29">
        <f>0</f>
        <v>0</v>
      </c>
      <c r="AE29">
        <f>0</f>
        <v>0</v>
      </c>
      <c r="AF29">
        <f>0</f>
        <v>0</v>
      </c>
      <c r="AG29">
        <f>0</f>
        <v>0</v>
      </c>
      <c r="AH29">
        <f>0</f>
        <v>0</v>
      </c>
      <c r="AI29">
        <f>0</f>
        <v>0</v>
      </c>
      <c r="AJ29">
        <f>0</f>
        <v>0</v>
      </c>
      <c r="AK29">
        <v>12.65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1</v>
      </c>
      <c r="AW29">
        <v>1</v>
      </c>
      <c r="AZ29">
        <v>14.38</v>
      </c>
      <c r="BA29">
        <v>1</v>
      </c>
      <c r="BB29">
        <v>1</v>
      </c>
      <c r="BC29">
        <v>1</v>
      </c>
      <c r="BD29" t="s">
        <v>3</v>
      </c>
      <c r="BE29" t="s">
        <v>3</v>
      </c>
      <c r="BF29" t="s">
        <v>3</v>
      </c>
      <c r="BG29" t="s">
        <v>3</v>
      </c>
      <c r="BH29">
        <v>0</v>
      </c>
      <c r="BI29">
        <v>1</v>
      </c>
      <c r="BJ29" t="s">
        <v>56</v>
      </c>
      <c r="BM29">
        <v>700005</v>
      </c>
      <c r="BN29">
        <v>0</v>
      </c>
      <c r="BO29" t="s">
        <v>3</v>
      </c>
      <c r="BP29">
        <v>0</v>
      </c>
      <c r="BQ29">
        <v>10</v>
      </c>
      <c r="BR29">
        <v>0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 t="s">
        <v>3</v>
      </c>
      <c r="BZ29">
        <v>0</v>
      </c>
      <c r="CA29">
        <v>0</v>
      </c>
      <c r="CB29" t="s">
        <v>3</v>
      </c>
      <c r="CE29">
        <v>0</v>
      </c>
      <c r="CF29">
        <v>0</v>
      </c>
      <c r="CG29">
        <v>0</v>
      </c>
      <c r="CM29">
        <v>0</v>
      </c>
      <c r="CN29" t="s">
        <v>3</v>
      </c>
      <c r="CO29">
        <v>0</v>
      </c>
      <c r="CP29">
        <f>AB29</f>
        <v>12.65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C29" t="s">
        <v>3</v>
      </c>
      <c r="DD29" t="s">
        <v>3</v>
      </c>
      <c r="DE29" t="s">
        <v>3</v>
      </c>
      <c r="DF29" t="s">
        <v>3</v>
      </c>
      <c r="DG29" t="s">
        <v>3</v>
      </c>
      <c r="DH29" t="s">
        <v>3</v>
      </c>
      <c r="DI29" t="s">
        <v>3</v>
      </c>
      <c r="DJ29" t="s">
        <v>3</v>
      </c>
      <c r="DK29" t="s">
        <v>3</v>
      </c>
      <c r="DL29" t="s">
        <v>3</v>
      </c>
      <c r="DM29" t="s">
        <v>3</v>
      </c>
      <c r="DN29">
        <v>0</v>
      </c>
      <c r="DO29">
        <v>0</v>
      </c>
      <c r="DP29">
        <v>1</v>
      </c>
      <c r="DQ29">
        <v>1</v>
      </c>
      <c r="DU29">
        <v>1013</v>
      </c>
      <c r="DV29" t="s">
        <v>49</v>
      </c>
      <c r="DW29" t="s">
        <v>49</v>
      </c>
      <c r="DX29">
        <v>1</v>
      </c>
      <c r="DZ29" t="s">
        <v>3</v>
      </c>
      <c r="EA29" t="s">
        <v>3</v>
      </c>
      <c r="EB29" t="s">
        <v>3</v>
      </c>
      <c r="EC29" t="s">
        <v>3</v>
      </c>
      <c r="EE29">
        <v>48031900</v>
      </c>
      <c r="EF29">
        <v>10</v>
      </c>
      <c r="EG29" t="s">
        <v>57</v>
      </c>
      <c r="EH29">
        <v>107</v>
      </c>
      <c r="EI29" t="s">
        <v>58</v>
      </c>
      <c r="EJ29">
        <v>1</v>
      </c>
      <c r="EK29">
        <v>700005</v>
      </c>
      <c r="EL29" t="s">
        <v>58</v>
      </c>
      <c r="EM29" t="s">
        <v>59</v>
      </c>
      <c r="EO29" t="s">
        <v>3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FQ29">
        <v>0</v>
      </c>
      <c r="FR29">
        <v>0</v>
      </c>
      <c r="FS29">
        <v>0</v>
      </c>
      <c r="FX29">
        <v>0</v>
      </c>
      <c r="FY29">
        <v>0</v>
      </c>
      <c r="GA29" t="s">
        <v>3</v>
      </c>
      <c r="GD29">
        <v>1</v>
      </c>
      <c r="GF29">
        <v>1318752795</v>
      </c>
      <c r="GG29">
        <v>2</v>
      </c>
      <c r="GH29">
        <v>1</v>
      </c>
      <c r="GI29">
        <v>4</v>
      </c>
      <c r="GJ29">
        <v>2</v>
      </c>
      <c r="GK29">
        <v>0</v>
      </c>
      <c r="GL29">
        <f t="shared" si="16"/>
        <v>0</v>
      </c>
      <c r="GM29">
        <f>ROUND(CP29*I29,0)</f>
        <v>75</v>
      </c>
      <c r="GN29">
        <f t="shared" si="17"/>
        <v>75</v>
      </c>
      <c r="GO29">
        <f t="shared" si="18"/>
        <v>0</v>
      </c>
      <c r="GP29">
        <f t="shared" si="19"/>
        <v>0</v>
      </c>
      <c r="GR29">
        <v>0</v>
      </c>
      <c r="GS29">
        <v>3</v>
      </c>
      <c r="GT29">
        <v>0</v>
      </c>
      <c r="GU29" t="s">
        <v>3</v>
      </c>
      <c r="GV29">
        <f>0</f>
        <v>0</v>
      </c>
      <c r="GW29">
        <v>1</v>
      </c>
      <c r="GX29">
        <f>0</f>
        <v>0</v>
      </c>
      <c r="HA29">
        <v>0</v>
      </c>
      <c r="HB29">
        <v>0</v>
      </c>
      <c r="HC29">
        <v>0</v>
      </c>
      <c r="HD29">
        <f>GM29</f>
        <v>75</v>
      </c>
      <c r="HE29" t="s">
        <v>3</v>
      </c>
      <c r="HF29" t="s">
        <v>3</v>
      </c>
      <c r="HI29">
        <f t="shared" si="20"/>
        <v>0</v>
      </c>
      <c r="HJ29">
        <f t="shared" si="21"/>
        <v>0</v>
      </c>
      <c r="HM29" t="s">
        <v>3</v>
      </c>
      <c r="HN29" t="s">
        <v>3</v>
      </c>
      <c r="HO29" t="s">
        <v>3</v>
      </c>
      <c r="HP29" t="s">
        <v>3</v>
      </c>
      <c r="HQ29" t="s">
        <v>3</v>
      </c>
      <c r="HR29">
        <f>ROUND(GM29*AZ29,0)</f>
        <v>1079</v>
      </c>
      <c r="HS29">
        <v>0</v>
      </c>
      <c r="IK29">
        <v>0</v>
      </c>
    </row>
    <row r="30" spans="1:245" x14ac:dyDescent="0.2">
      <c r="A30">
        <v>17</v>
      </c>
      <c r="B30">
        <v>1</v>
      </c>
      <c r="C30">
        <f>ROW(SmtRes!A43)</f>
        <v>43</v>
      </c>
      <c r="D30">
        <f>ROW(EtalonRes!A43)</f>
        <v>43</v>
      </c>
      <c r="E30" t="s">
        <v>60</v>
      </c>
      <c r="F30" t="s">
        <v>61</v>
      </c>
      <c r="G30" t="s">
        <v>62</v>
      </c>
      <c r="H30" t="s">
        <v>63</v>
      </c>
      <c r="I30">
        <v>0</v>
      </c>
      <c r="J30">
        <v>0</v>
      </c>
      <c r="K30">
        <v>0</v>
      </c>
      <c r="O30">
        <f>ROUND(CP30,0)</f>
        <v>0</v>
      </c>
      <c r="P30">
        <f>ROUND(CQ30*I30,0)</f>
        <v>0</v>
      </c>
      <c r="Q30">
        <f>ROUND(CR30*I30,0)</f>
        <v>0</v>
      </c>
      <c r="R30">
        <f>ROUND(CS30*I30,0)</f>
        <v>0</v>
      </c>
      <c r="S30">
        <f>ROUND(CT30*I30,0)</f>
        <v>0</v>
      </c>
      <c r="T30">
        <f>ROUND(CU30*I30,0)</f>
        <v>0</v>
      </c>
      <c r="U30">
        <f>ROUND(CV30*I30,7)</f>
        <v>0</v>
      </c>
      <c r="V30">
        <f>ROUND(CW30*I30,7)</f>
        <v>0</v>
      </c>
      <c r="W30">
        <f>ROUND(CX30*I30,0)</f>
        <v>0</v>
      </c>
      <c r="X30">
        <f t="shared" ref="X30:Y33" si="22">ROUND(CY30,0)</f>
        <v>0</v>
      </c>
      <c r="Y30">
        <f t="shared" si="22"/>
        <v>0</v>
      </c>
      <c r="AA30">
        <v>60563954</v>
      </c>
      <c r="AB30">
        <f>ROUND((AC30+AD30+AF30),2)</f>
        <v>746.83</v>
      </c>
      <c r="AC30">
        <f>ROUND(((ES30*ROUND(0,7))),2)</f>
        <v>0</v>
      </c>
      <c r="AD30">
        <f>ROUND(((((ET30*ROUND(0.5,7)))-((EU30*ROUND(0.5,7))))+AE30),2)</f>
        <v>491.48</v>
      </c>
      <c r="AE30">
        <f>ROUND(((EU30*ROUND(0.5,7))),2)</f>
        <v>57.95</v>
      </c>
      <c r="AF30">
        <f>ROUND(((EV30*ROUND(0.5,7))),2)</f>
        <v>255.35</v>
      </c>
      <c r="AG30">
        <f>ROUND((AP30),2)</f>
        <v>0</v>
      </c>
      <c r="AH30">
        <f>((EW30*ROUND(0.5,7)))</f>
        <v>26.85</v>
      </c>
      <c r="AI30">
        <f>((EX30*ROUND(0.5,7)))</f>
        <v>4.415</v>
      </c>
      <c r="AJ30">
        <f>(AS30)</f>
        <v>0</v>
      </c>
      <c r="AK30">
        <v>1612.31</v>
      </c>
      <c r="AL30">
        <v>118.66</v>
      </c>
      <c r="AM30">
        <v>982.96</v>
      </c>
      <c r="AN30">
        <v>115.9</v>
      </c>
      <c r="AO30">
        <v>510.69</v>
      </c>
      <c r="AP30">
        <v>0</v>
      </c>
      <c r="AQ30">
        <v>53.7</v>
      </c>
      <c r="AR30">
        <v>8.83</v>
      </c>
      <c r="AS30">
        <v>0</v>
      </c>
      <c r="AT30">
        <v>89</v>
      </c>
      <c r="AU30">
        <v>45</v>
      </c>
      <c r="AV30">
        <v>1</v>
      </c>
      <c r="AW30">
        <v>1</v>
      </c>
      <c r="AZ30">
        <v>1</v>
      </c>
      <c r="BA30">
        <v>37.299999999999997</v>
      </c>
      <c r="BB30">
        <v>1</v>
      </c>
      <c r="BC30">
        <v>1</v>
      </c>
      <c r="BD30" t="s">
        <v>3</v>
      </c>
      <c r="BE30" t="s">
        <v>3</v>
      </c>
      <c r="BF30" t="s">
        <v>3</v>
      </c>
      <c r="BG30" t="s">
        <v>3</v>
      </c>
      <c r="BH30">
        <v>0</v>
      </c>
      <c r="BI30">
        <v>2</v>
      </c>
      <c r="BJ30" t="s">
        <v>64</v>
      </c>
      <c r="BM30">
        <v>135001</v>
      </c>
      <c r="BN30">
        <v>0</v>
      </c>
      <c r="BO30" t="s">
        <v>3</v>
      </c>
      <c r="BP30">
        <v>0</v>
      </c>
      <c r="BQ30">
        <v>3</v>
      </c>
      <c r="BR30">
        <v>0</v>
      </c>
      <c r="BS30">
        <v>37.299999999999997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3</v>
      </c>
      <c r="BZ30">
        <v>89</v>
      </c>
      <c r="CA30">
        <v>45</v>
      </c>
      <c r="CB30" t="s">
        <v>3</v>
      </c>
      <c r="CE30">
        <v>0</v>
      </c>
      <c r="CF30">
        <v>0</v>
      </c>
      <c r="CG30">
        <v>0</v>
      </c>
      <c r="CM30">
        <v>0</v>
      </c>
      <c r="CN30" t="s">
        <v>65</v>
      </c>
      <c r="CO30">
        <v>0</v>
      </c>
      <c r="CP30">
        <f>(P30+Q30+S30)</f>
        <v>0</v>
      </c>
      <c r="CQ30">
        <f>AC30*BC30</f>
        <v>0</v>
      </c>
      <c r="CR30">
        <f>((((ET30*ROUND(0.5,7)))*BB30-((EU30*ROUND(0.5,7))))+AE30)</f>
        <v>491.48</v>
      </c>
      <c r="CS30">
        <f t="shared" ref="CS30:CX33" si="23">AE30</f>
        <v>57.95</v>
      </c>
      <c r="CT30">
        <f t="shared" si="23"/>
        <v>255.35</v>
      </c>
      <c r="CU30">
        <f t="shared" si="23"/>
        <v>0</v>
      </c>
      <c r="CV30">
        <f t="shared" si="23"/>
        <v>26.85</v>
      </c>
      <c r="CW30">
        <f t="shared" si="23"/>
        <v>4.415</v>
      </c>
      <c r="CX30">
        <f t="shared" si="23"/>
        <v>0</v>
      </c>
      <c r="CY30">
        <f>(((S30+R30)*AT30)/100)</f>
        <v>0</v>
      </c>
      <c r="CZ30">
        <f>(((S30+R30)*AU30)/100)</f>
        <v>0</v>
      </c>
      <c r="DB30">
        <v>2</v>
      </c>
      <c r="DC30" t="s">
        <v>3</v>
      </c>
      <c r="DD30" t="s">
        <v>35</v>
      </c>
      <c r="DE30" t="s">
        <v>66</v>
      </c>
      <c r="DF30" t="s">
        <v>66</v>
      </c>
      <c r="DG30" t="s">
        <v>66</v>
      </c>
      <c r="DH30" t="s">
        <v>3</v>
      </c>
      <c r="DI30" t="s">
        <v>66</v>
      </c>
      <c r="DJ30" t="s">
        <v>66</v>
      </c>
      <c r="DK30" t="s">
        <v>3</v>
      </c>
      <c r="DL30" t="s">
        <v>3</v>
      </c>
      <c r="DM30" t="s">
        <v>3</v>
      </c>
      <c r="DN30">
        <v>0</v>
      </c>
      <c r="DO30">
        <v>0</v>
      </c>
      <c r="DP30">
        <v>1</v>
      </c>
      <c r="DQ30">
        <v>1</v>
      </c>
      <c r="DU30">
        <v>1013</v>
      </c>
      <c r="DV30" t="s">
        <v>63</v>
      </c>
      <c r="DW30" t="s">
        <v>63</v>
      </c>
      <c r="DX30">
        <v>1</v>
      </c>
      <c r="DZ30" t="s">
        <v>3</v>
      </c>
      <c r="EA30" t="s">
        <v>3</v>
      </c>
      <c r="EB30" t="s">
        <v>3</v>
      </c>
      <c r="EC30" t="s">
        <v>3</v>
      </c>
      <c r="EE30">
        <v>48031535</v>
      </c>
      <c r="EF30">
        <v>3</v>
      </c>
      <c r="EG30" t="s">
        <v>67</v>
      </c>
      <c r="EH30">
        <v>77</v>
      </c>
      <c r="EI30" t="s">
        <v>68</v>
      </c>
      <c r="EJ30">
        <v>2</v>
      </c>
      <c r="EK30">
        <v>135001</v>
      </c>
      <c r="EL30" t="s">
        <v>69</v>
      </c>
      <c r="EM30" t="s">
        <v>70</v>
      </c>
      <c r="EO30" t="s">
        <v>71</v>
      </c>
      <c r="EQ30">
        <v>0</v>
      </c>
      <c r="ER30">
        <v>1612.31</v>
      </c>
      <c r="ES30">
        <v>118.66</v>
      </c>
      <c r="ET30">
        <v>982.96</v>
      </c>
      <c r="EU30">
        <v>115.9</v>
      </c>
      <c r="EV30">
        <v>510.69</v>
      </c>
      <c r="EW30">
        <v>53.7</v>
      </c>
      <c r="EX30">
        <v>8.83</v>
      </c>
      <c r="EY30">
        <v>0</v>
      </c>
      <c r="FQ30">
        <v>0</v>
      </c>
      <c r="FR30">
        <v>0</v>
      </c>
      <c r="FS30">
        <v>0</v>
      </c>
      <c r="FX30">
        <v>89</v>
      </c>
      <c r="FY30">
        <v>45</v>
      </c>
      <c r="GA30" t="s">
        <v>3</v>
      </c>
      <c r="GD30">
        <v>1</v>
      </c>
      <c r="GF30">
        <v>-1364840671</v>
      </c>
      <c r="GG30">
        <v>2</v>
      </c>
      <c r="GH30">
        <v>1</v>
      </c>
      <c r="GI30">
        <v>4</v>
      </c>
      <c r="GJ30">
        <v>0</v>
      </c>
      <c r="GK30">
        <v>0</v>
      </c>
      <c r="GL30">
        <f t="shared" si="16"/>
        <v>0</v>
      </c>
      <c r="GM30">
        <f>ROUND(O30+X30+Y30,0)+GX30</f>
        <v>0</v>
      </c>
      <c r="GN30">
        <f t="shared" si="17"/>
        <v>0</v>
      </c>
      <c r="GO30">
        <f t="shared" si="18"/>
        <v>0</v>
      </c>
      <c r="GP30">
        <f t="shared" si="19"/>
        <v>0</v>
      </c>
      <c r="GR30">
        <v>0</v>
      </c>
      <c r="GS30">
        <v>3</v>
      </c>
      <c r="GT30">
        <v>0</v>
      </c>
      <c r="GU30" t="s">
        <v>3</v>
      </c>
      <c r="GV30">
        <f>ROUND((GT30),2)</f>
        <v>0</v>
      </c>
      <c r="GW30">
        <v>1</v>
      </c>
      <c r="GX30">
        <f>ROUND(HC30*I30,0)</f>
        <v>0</v>
      </c>
      <c r="HA30">
        <v>0</v>
      </c>
      <c r="HB30">
        <v>0</v>
      </c>
      <c r="HC30">
        <f>GV30*GW30</f>
        <v>0</v>
      </c>
      <c r="HE30" t="s">
        <v>3</v>
      </c>
      <c r="HF30" t="s">
        <v>3</v>
      </c>
      <c r="HI30">
        <f t="shared" si="20"/>
        <v>0</v>
      </c>
      <c r="HJ30">
        <f t="shared" si="21"/>
        <v>0</v>
      </c>
      <c r="HK30">
        <f>ROUND((((HJ30+HI30)*AT30)/100),0)</f>
        <v>0</v>
      </c>
      <c r="HL30">
        <f>ROUND((((HJ30+HI30)*AU30)/100),0)</f>
        <v>0</v>
      </c>
      <c r="HM30" t="s">
        <v>3</v>
      </c>
      <c r="HN30" t="s">
        <v>72</v>
      </c>
      <c r="HO30" t="s">
        <v>73</v>
      </c>
      <c r="HP30" t="s">
        <v>69</v>
      </c>
      <c r="HQ30" t="s">
        <v>69</v>
      </c>
      <c r="HS30">
        <v>0</v>
      </c>
      <c r="IK30">
        <v>0</v>
      </c>
    </row>
    <row r="31" spans="1:245" x14ac:dyDescent="0.2">
      <c r="A31">
        <v>18</v>
      </c>
      <c r="B31">
        <v>1</v>
      </c>
      <c r="C31">
        <v>42</v>
      </c>
      <c r="E31" t="s">
        <v>74</v>
      </c>
      <c r="F31" t="s">
        <v>75</v>
      </c>
      <c r="G31" t="s">
        <v>76</v>
      </c>
      <c r="H31" t="s">
        <v>32</v>
      </c>
      <c r="I31">
        <f>I30*J31</f>
        <v>0</v>
      </c>
      <c r="J31">
        <v>0</v>
      </c>
      <c r="K31">
        <v>3.16</v>
      </c>
      <c r="O31">
        <f>ROUND(CP31,0)</f>
        <v>0</v>
      </c>
      <c r="P31">
        <f>ROUND(CQ31*I31,0)</f>
        <v>0</v>
      </c>
      <c r="Q31">
        <f>ROUND(CR31*I31,0)</f>
        <v>0</v>
      </c>
      <c r="R31">
        <f>ROUND(CS31*I31,0)</f>
        <v>0</v>
      </c>
      <c r="S31">
        <f>ROUND(CT31*I31,0)</f>
        <v>0</v>
      </c>
      <c r="T31">
        <f>ROUND(CU31*I31,0)</f>
        <v>0</v>
      </c>
      <c r="U31">
        <f>ROUND(CV31*I31,7)</f>
        <v>0</v>
      </c>
      <c r="V31">
        <f>ROUND(CW31*I31,7)</f>
        <v>0</v>
      </c>
      <c r="W31">
        <f>ROUND(CX31*I31,0)</f>
        <v>0</v>
      </c>
      <c r="X31">
        <f t="shared" si="22"/>
        <v>0</v>
      </c>
      <c r="Y31">
        <f t="shared" si="22"/>
        <v>0</v>
      </c>
      <c r="AA31">
        <v>60563954</v>
      </c>
      <c r="AB31">
        <f>ROUND((AC31+AD31+AF31),2)</f>
        <v>0</v>
      </c>
      <c r="AC31">
        <f>ROUND((ES31),2)</f>
        <v>0</v>
      </c>
      <c r="AD31">
        <f>ROUND((((ET31)-(EU31))+AE31),2)</f>
        <v>0</v>
      </c>
      <c r="AE31">
        <f>ROUND((EU31),2)</f>
        <v>0</v>
      </c>
      <c r="AF31">
        <f>ROUND((EV31),2)</f>
        <v>0</v>
      </c>
      <c r="AG31">
        <f>ROUND((AP31),2)</f>
        <v>0</v>
      </c>
      <c r="AH31">
        <f>(EW31)</f>
        <v>0</v>
      </c>
      <c r="AI31">
        <f>(EX31)</f>
        <v>0</v>
      </c>
      <c r="AJ31">
        <f>(AS31)</f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89</v>
      </c>
      <c r="AU31">
        <v>45</v>
      </c>
      <c r="AV31">
        <v>1</v>
      </c>
      <c r="AW31">
        <v>1</v>
      </c>
      <c r="AZ31">
        <v>1</v>
      </c>
      <c r="BA31">
        <v>1</v>
      </c>
      <c r="BB31">
        <v>1</v>
      </c>
      <c r="BC31">
        <v>1</v>
      </c>
      <c r="BD31" t="s">
        <v>3</v>
      </c>
      <c r="BE31" t="s">
        <v>3</v>
      </c>
      <c r="BF31" t="s">
        <v>3</v>
      </c>
      <c r="BG31" t="s">
        <v>3</v>
      </c>
      <c r="BH31">
        <v>3</v>
      </c>
      <c r="BI31">
        <v>2</v>
      </c>
      <c r="BJ31" t="s">
        <v>3</v>
      </c>
      <c r="BM31">
        <v>135001</v>
      </c>
      <c r="BN31">
        <v>0</v>
      </c>
      <c r="BO31" t="s">
        <v>3</v>
      </c>
      <c r="BP31">
        <v>0</v>
      </c>
      <c r="BQ31">
        <v>3</v>
      </c>
      <c r="BR31">
        <v>0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 t="s">
        <v>3</v>
      </c>
      <c r="BZ31">
        <v>89</v>
      </c>
      <c r="CA31">
        <v>45</v>
      </c>
      <c r="CB31" t="s">
        <v>3</v>
      </c>
      <c r="CE31">
        <v>0</v>
      </c>
      <c r="CF31">
        <v>0</v>
      </c>
      <c r="CG31">
        <v>0</v>
      </c>
      <c r="CM31">
        <v>0</v>
      </c>
      <c r="CN31" t="s">
        <v>65</v>
      </c>
      <c r="CO31">
        <v>0</v>
      </c>
      <c r="CP31">
        <f>(P31+Q31+S31)</f>
        <v>0</v>
      </c>
      <c r="CQ31">
        <f>AC31*BC31</f>
        <v>0</v>
      </c>
      <c r="CR31">
        <f>(((ET31)*BB31-(EU31))+AE31)</f>
        <v>0</v>
      </c>
      <c r="CS31">
        <f t="shared" si="23"/>
        <v>0</v>
      </c>
      <c r="CT31">
        <f t="shared" si="23"/>
        <v>0</v>
      </c>
      <c r="CU31">
        <f t="shared" si="23"/>
        <v>0</v>
      </c>
      <c r="CV31">
        <f t="shared" si="23"/>
        <v>0</v>
      </c>
      <c r="CW31">
        <f t="shared" si="23"/>
        <v>0</v>
      </c>
      <c r="CX31">
        <f t="shared" si="23"/>
        <v>0</v>
      </c>
      <c r="CY31">
        <f>(((S31+R31)*AT31)/100)</f>
        <v>0</v>
      </c>
      <c r="CZ31">
        <f>(((S31+R31)*AU31)/100)</f>
        <v>0</v>
      </c>
      <c r="DC31" t="s">
        <v>3</v>
      </c>
      <c r="DD31" t="s">
        <v>3</v>
      </c>
      <c r="DE31" t="s">
        <v>3</v>
      </c>
      <c r="DF31" t="s">
        <v>3</v>
      </c>
      <c r="DG31" t="s">
        <v>3</v>
      </c>
      <c r="DH31" t="s">
        <v>3</v>
      </c>
      <c r="DI31" t="s">
        <v>3</v>
      </c>
      <c r="DJ31" t="s">
        <v>3</v>
      </c>
      <c r="DK31" t="s">
        <v>3</v>
      </c>
      <c r="DL31" t="s">
        <v>3</v>
      </c>
      <c r="DM31" t="s">
        <v>3</v>
      </c>
      <c r="DN31">
        <v>0</v>
      </c>
      <c r="DO31">
        <v>0</v>
      </c>
      <c r="DP31">
        <v>1</v>
      </c>
      <c r="DQ31">
        <v>1</v>
      </c>
      <c r="DU31">
        <v>1009</v>
      </c>
      <c r="DV31" t="s">
        <v>32</v>
      </c>
      <c r="DW31" t="s">
        <v>32</v>
      </c>
      <c r="DX31">
        <v>1000</v>
      </c>
      <c r="DZ31" t="s">
        <v>3</v>
      </c>
      <c r="EA31" t="s">
        <v>3</v>
      </c>
      <c r="EB31" t="s">
        <v>3</v>
      </c>
      <c r="EC31" t="s">
        <v>3</v>
      </c>
      <c r="EE31">
        <v>48031535</v>
      </c>
      <c r="EF31">
        <v>3</v>
      </c>
      <c r="EG31" t="s">
        <v>67</v>
      </c>
      <c r="EH31">
        <v>77</v>
      </c>
      <c r="EI31" t="s">
        <v>68</v>
      </c>
      <c r="EJ31">
        <v>2</v>
      </c>
      <c r="EK31">
        <v>135001</v>
      </c>
      <c r="EL31" t="s">
        <v>69</v>
      </c>
      <c r="EM31" t="s">
        <v>70</v>
      </c>
      <c r="EO31" t="s">
        <v>71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FQ31">
        <v>0</v>
      </c>
      <c r="FR31">
        <v>0</v>
      </c>
      <c r="FS31">
        <v>0</v>
      </c>
      <c r="FX31">
        <v>89</v>
      </c>
      <c r="FY31">
        <v>45</v>
      </c>
      <c r="GA31" t="s">
        <v>3</v>
      </c>
      <c r="GD31">
        <v>1</v>
      </c>
      <c r="GF31">
        <v>1392189009</v>
      </c>
      <c r="GG31">
        <v>2</v>
      </c>
      <c r="GH31">
        <v>1</v>
      </c>
      <c r="GI31">
        <v>4</v>
      </c>
      <c r="GJ31">
        <v>0</v>
      </c>
      <c r="GK31">
        <v>0</v>
      </c>
      <c r="GL31">
        <f t="shared" si="16"/>
        <v>0</v>
      </c>
      <c r="GM31">
        <f>ROUND(O31+X31+Y31,0)+GX31</f>
        <v>0</v>
      </c>
      <c r="GN31">
        <f t="shared" si="17"/>
        <v>0</v>
      </c>
      <c r="GO31">
        <f t="shared" si="18"/>
        <v>0</v>
      </c>
      <c r="GP31">
        <f t="shared" si="19"/>
        <v>0</v>
      </c>
      <c r="GR31">
        <v>0</v>
      </c>
      <c r="GS31">
        <v>3</v>
      </c>
      <c r="GT31">
        <v>0</v>
      </c>
      <c r="GU31" t="s">
        <v>3</v>
      </c>
      <c r="GV31">
        <f>ROUND((GT31),2)</f>
        <v>0</v>
      </c>
      <c r="GW31">
        <v>1</v>
      </c>
      <c r="GX31">
        <f>ROUND(HC31*I31,0)</f>
        <v>0</v>
      </c>
      <c r="HA31">
        <v>0</v>
      </c>
      <c r="HB31">
        <v>0</v>
      </c>
      <c r="HC31">
        <f>GV31*GW31</f>
        <v>0</v>
      </c>
      <c r="HE31" t="s">
        <v>3</v>
      </c>
      <c r="HF31" t="s">
        <v>3</v>
      </c>
      <c r="HI31">
        <f t="shared" si="20"/>
        <v>0</v>
      </c>
      <c r="HJ31">
        <f t="shared" si="21"/>
        <v>0</v>
      </c>
      <c r="HK31">
        <f>ROUND((((HJ31+HI31)*AT31)/100),0)</f>
        <v>0</v>
      </c>
      <c r="HL31">
        <f>ROUND((((HJ31+HI31)*AU31)/100),0)</f>
        <v>0</v>
      </c>
      <c r="HM31" t="s">
        <v>45</v>
      </c>
      <c r="HN31" t="s">
        <v>72</v>
      </c>
      <c r="HO31" t="s">
        <v>73</v>
      </c>
      <c r="HP31" t="s">
        <v>69</v>
      </c>
      <c r="HQ31" t="s">
        <v>69</v>
      </c>
      <c r="HS31">
        <v>0</v>
      </c>
      <c r="IK31">
        <v>0</v>
      </c>
    </row>
    <row r="32" spans="1:245" x14ac:dyDescent="0.2">
      <c r="A32">
        <v>17</v>
      </c>
      <c r="B32">
        <v>1</v>
      </c>
      <c r="C32">
        <f>ROW(SmtRes!A73)</f>
        <v>73</v>
      </c>
      <c r="D32">
        <f>ROW(EtalonRes!A73)</f>
        <v>73</v>
      </c>
      <c r="E32" t="s">
        <v>77</v>
      </c>
      <c r="F32" t="s">
        <v>78</v>
      </c>
      <c r="G32" t="s">
        <v>79</v>
      </c>
      <c r="H32" t="s">
        <v>32</v>
      </c>
      <c r="I32">
        <v>0</v>
      </c>
      <c r="J32">
        <v>0</v>
      </c>
      <c r="K32">
        <v>0</v>
      </c>
      <c r="O32">
        <f>ROUND(CP32,0)</f>
        <v>0</v>
      </c>
      <c r="P32">
        <f>ROUND(CQ32*I32,0)</f>
        <v>0</v>
      </c>
      <c r="Q32">
        <f>ROUND(CR32*I32,0)</f>
        <v>0</v>
      </c>
      <c r="R32">
        <f>ROUND(CS32*I32,0)</f>
        <v>0</v>
      </c>
      <c r="S32">
        <f>ROUND(CT32*I32,0)</f>
        <v>0</v>
      </c>
      <c r="T32">
        <f>ROUND(CU32*I32,0)</f>
        <v>0</v>
      </c>
      <c r="U32">
        <f>ROUND(CV32*I32,7)</f>
        <v>0</v>
      </c>
      <c r="V32">
        <f>ROUND(CW32*I32,7)</f>
        <v>0</v>
      </c>
      <c r="W32">
        <f>ROUND(CX32*I32,0)</f>
        <v>0</v>
      </c>
      <c r="X32">
        <f t="shared" si="22"/>
        <v>0</v>
      </c>
      <c r="Y32">
        <f t="shared" si="22"/>
        <v>0</v>
      </c>
      <c r="AA32">
        <v>60563954</v>
      </c>
      <c r="AB32">
        <f>ROUND((AC32+AD32+AF32),2)</f>
        <v>688.52</v>
      </c>
      <c r="AC32">
        <f>ROUND(((ES32*ROUND((0*1.04),7))),2)</f>
        <v>0</v>
      </c>
      <c r="AD32">
        <f>ROUND(((((ET32*ROUND((0.7*1.04),7)))-((EU32*ROUND((0.7*1.04),7))))+AE32),2)</f>
        <v>535.12</v>
      </c>
      <c r="AE32">
        <f>ROUND(((EU32*ROUND((0.7*1.04),7))),2)</f>
        <v>61.3</v>
      </c>
      <c r="AF32">
        <f>ROUND(((EV32*ROUND((0.7*1.04),7))),2)</f>
        <v>153.4</v>
      </c>
      <c r="AG32">
        <f>ROUND((AP32),2)</f>
        <v>0</v>
      </c>
      <c r="AH32">
        <f>((EW32*ROUND((0.7*1.04),7)))</f>
        <v>13.831999999999999</v>
      </c>
      <c r="AI32">
        <f>((EX32*ROUND((0.7*1.04),7)))</f>
        <v>4.5354400000000004</v>
      </c>
      <c r="AJ32">
        <f>(AS32)</f>
        <v>0</v>
      </c>
      <c r="AK32">
        <v>1450.81</v>
      </c>
      <c r="AL32">
        <v>505.04</v>
      </c>
      <c r="AM32">
        <v>735.06</v>
      </c>
      <c r="AN32">
        <v>84.21</v>
      </c>
      <c r="AO32">
        <v>210.71</v>
      </c>
      <c r="AP32">
        <v>0</v>
      </c>
      <c r="AQ32">
        <v>19</v>
      </c>
      <c r="AR32">
        <v>6.23</v>
      </c>
      <c r="AS32">
        <v>0</v>
      </c>
      <c r="AT32">
        <v>93</v>
      </c>
      <c r="AU32">
        <v>62</v>
      </c>
      <c r="AV32">
        <v>1</v>
      </c>
      <c r="AW32">
        <v>1</v>
      </c>
      <c r="AZ32">
        <v>1</v>
      </c>
      <c r="BA32">
        <v>37.299999999999997</v>
      </c>
      <c r="BB32">
        <v>1</v>
      </c>
      <c r="BC32">
        <v>1</v>
      </c>
      <c r="BD32" t="s">
        <v>3</v>
      </c>
      <c r="BE32" t="s">
        <v>3</v>
      </c>
      <c r="BF32" t="s">
        <v>3</v>
      </c>
      <c r="BG32" t="s">
        <v>3</v>
      </c>
      <c r="BH32">
        <v>0</v>
      </c>
      <c r="BI32">
        <v>1</v>
      </c>
      <c r="BJ32" t="s">
        <v>80</v>
      </c>
      <c r="BM32">
        <v>9001</v>
      </c>
      <c r="BN32">
        <v>0</v>
      </c>
      <c r="BO32" t="s">
        <v>3</v>
      </c>
      <c r="BP32">
        <v>0</v>
      </c>
      <c r="BQ32">
        <v>2</v>
      </c>
      <c r="BR32">
        <v>0</v>
      </c>
      <c r="BS32">
        <v>37.299999999999997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93</v>
      </c>
      <c r="CA32">
        <v>62</v>
      </c>
      <c r="CB32" t="s">
        <v>3</v>
      </c>
      <c r="CE32">
        <v>0</v>
      </c>
      <c r="CF32">
        <v>0</v>
      </c>
      <c r="CG32">
        <v>0</v>
      </c>
      <c r="CM32">
        <v>0</v>
      </c>
      <c r="CN32" t="s">
        <v>357</v>
      </c>
      <c r="CO32">
        <v>0</v>
      </c>
      <c r="CP32">
        <f>(P32+Q32+S32)</f>
        <v>0</v>
      </c>
      <c r="CQ32">
        <f>AC32*BC32</f>
        <v>0</v>
      </c>
      <c r="CR32">
        <f>((((ET32*ROUND((0.7*1.04),7)))*BB32-((EU32*ROUND((0.7*1.04),7))))+AE32)</f>
        <v>535.11879999999985</v>
      </c>
      <c r="CS32">
        <f t="shared" si="23"/>
        <v>61.3</v>
      </c>
      <c r="CT32">
        <f t="shared" si="23"/>
        <v>153.4</v>
      </c>
      <c r="CU32">
        <f t="shared" si="23"/>
        <v>0</v>
      </c>
      <c r="CV32">
        <f t="shared" si="23"/>
        <v>13.831999999999999</v>
      </c>
      <c r="CW32">
        <f t="shared" si="23"/>
        <v>4.5354400000000004</v>
      </c>
      <c r="CX32">
        <f t="shared" si="23"/>
        <v>0</v>
      </c>
      <c r="CY32">
        <f>(((S32+R32)*AT32)/100)</f>
        <v>0</v>
      </c>
      <c r="CZ32">
        <f>(((S32+R32)*AU32)/100)</f>
        <v>0</v>
      </c>
      <c r="DB32">
        <v>3</v>
      </c>
      <c r="DC32" t="s">
        <v>3</v>
      </c>
      <c r="DD32" t="s">
        <v>81</v>
      </c>
      <c r="DE32" t="s">
        <v>82</v>
      </c>
      <c r="DF32" t="s">
        <v>82</v>
      </c>
      <c r="DG32" t="s">
        <v>82</v>
      </c>
      <c r="DH32" t="s">
        <v>3</v>
      </c>
      <c r="DI32" t="s">
        <v>82</v>
      </c>
      <c r="DJ32" t="s">
        <v>82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1009</v>
      </c>
      <c r="DV32" t="s">
        <v>32</v>
      </c>
      <c r="DW32" t="s">
        <v>32</v>
      </c>
      <c r="DX32">
        <v>1000</v>
      </c>
      <c r="DZ32" t="s">
        <v>3</v>
      </c>
      <c r="EA32" t="s">
        <v>3</v>
      </c>
      <c r="EB32" t="s">
        <v>3</v>
      </c>
      <c r="EC32" t="s">
        <v>3</v>
      </c>
      <c r="EE32">
        <v>48031647</v>
      </c>
      <c r="EF32">
        <v>2</v>
      </c>
      <c r="EG32" t="s">
        <v>19</v>
      </c>
      <c r="EH32">
        <v>9</v>
      </c>
      <c r="EI32" t="s">
        <v>37</v>
      </c>
      <c r="EJ32">
        <v>1</v>
      </c>
      <c r="EK32">
        <v>9001</v>
      </c>
      <c r="EL32" t="s">
        <v>37</v>
      </c>
      <c r="EM32" t="s">
        <v>38</v>
      </c>
      <c r="EO32" t="s">
        <v>83</v>
      </c>
      <c r="EQ32">
        <v>0</v>
      </c>
      <c r="ER32">
        <v>1450.81</v>
      </c>
      <c r="ES32">
        <v>505.04</v>
      </c>
      <c r="ET32">
        <v>735.06</v>
      </c>
      <c r="EU32">
        <v>84.21</v>
      </c>
      <c r="EV32">
        <v>210.71</v>
      </c>
      <c r="EW32">
        <v>19</v>
      </c>
      <c r="EX32">
        <v>6.23</v>
      </c>
      <c r="EY32">
        <v>0</v>
      </c>
      <c r="FQ32">
        <v>0</v>
      </c>
      <c r="FR32">
        <v>0</v>
      </c>
      <c r="FS32">
        <v>0</v>
      </c>
      <c r="FX32">
        <v>93</v>
      </c>
      <c r="FY32">
        <v>62</v>
      </c>
      <c r="GA32" t="s">
        <v>3</v>
      </c>
      <c r="GD32">
        <v>1</v>
      </c>
      <c r="GF32">
        <v>873927516</v>
      </c>
      <c r="GG32">
        <v>2</v>
      </c>
      <c r="GH32">
        <v>1</v>
      </c>
      <c r="GI32">
        <v>4</v>
      </c>
      <c r="GJ32">
        <v>0</v>
      </c>
      <c r="GK32">
        <v>0</v>
      </c>
      <c r="GL32">
        <f t="shared" si="16"/>
        <v>0</v>
      </c>
      <c r="GM32">
        <f>ROUND(O32+X32+Y32,0)+GX32</f>
        <v>0</v>
      </c>
      <c r="GN32">
        <f t="shared" si="17"/>
        <v>0</v>
      </c>
      <c r="GO32">
        <f t="shared" si="18"/>
        <v>0</v>
      </c>
      <c r="GP32">
        <f t="shared" si="19"/>
        <v>0</v>
      </c>
      <c r="GR32">
        <v>0</v>
      </c>
      <c r="GS32">
        <v>3</v>
      </c>
      <c r="GT32">
        <v>0</v>
      </c>
      <c r="GU32" t="s">
        <v>3</v>
      </c>
      <c r="GV32">
        <f>ROUND((GT32),2)</f>
        <v>0</v>
      </c>
      <c r="GW32">
        <v>1</v>
      </c>
      <c r="GX32">
        <f>ROUND(HC32*I32,0)</f>
        <v>0</v>
      </c>
      <c r="HA32">
        <v>0</v>
      </c>
      <c r="HB32">
        <v>0</v>
      </c>
      <c r="HC32">
        <f>GV32*GW32</f>
        <v>0</v>
      </c>
      <c r="HE32" t="s">
        <v>3</v>
      </c>
      <c r="HF32" t="s">
        <v>3</v>
      </c>
      <c r="HI32">
        <f t="shared" si="20"/>
        <v>0</v>
      </c>
      <c r="HJ32">
        <f t="shared" si="21"/>
        <v>0</v>
      </c>
      <c r="HK32">
        <f>ROUND((((HJ32+HI32)*AT32)/100),0)</f>
        <v>0</v>
      </c>
      <c r="HL32">
        <f>ROUND((((HJ32+HI32)*AU32)/100),0)</f>
        <v>0</v>
      </c>
      <c r="HM32" t="s">
        <v>3</v>
      </c>
      <c r="HN32" t="s">
        <v>40</v>
      </c>
      <c r="HO32" t="s">
        <v>41</v>
      </c>
      <c r="HP32" t="s">
        <v>37</v>
      </c>
      <c r="HQ32" t="s">
        <v>37</v>
      </c>
      <c r="HS32">
        <v>0</v>
      </c>
      <c r="IK32">
        <v>0</v>
      </c>
    </row>
    <row r="33" spans="1:245" x14ac:dyDescent="0.2">
      <c r="A33">
        <v>18</v>
      </c>
      <c r="B33">
        <v>1</v>
      </c>
      <c r="C33">
        <v>66</v>
      </c>
      <c r="E33" t="s">
        <v>84</v>
      </c>
      <c r="F33" t="s">
        <v>43</v>
      </c>
      <c r="G33" t="s">
        <v>44</v>
      </c>
      <c r="H33" t="s">
        <v>32</v>
      </c>
      <c r="I33">
        <f>I32*J33</f>
        <v>0</v>
      </c>
      <c r="J33">
        <v>0</v>
      </c>
      <c r="K33">
        <v>1</v>
      </c>
      <c r="O33">
        <f>ROUND(CP33,0)</f>
        <v>0</v>
      </c>
      <c r="P33">
        <f>ROUND(CQ33*I33,0)</f>
        <v>0</v>
      </c>
      <c r="Q33">
        <f>ROUND(CR33*I33,0)</f>
        <v>0</v>
      </c>
      <c r="R33">
        <f>ROUND(CS33*I33,0)</f>
        <v>0</v>
      </c>
      <c r="S33">
        <f>ROUND(CT33*I33,0)</f>
        <v>0</v>
      </c>
      <c r="T33">
        <f>ROUND(CU33*I33,0)</f>
        <v>0</v>
      </c>
      <c r="U33">
        <f>ROUND(CV33*I33,7)</f>
        <v>0</v>
      </c>
      <c r="V33">
        <f>ROUND(CW33*I33,7)</f>
        <v>0</v>
      </c>
      <c r="W33">
        <f>ROUND(CX33*I33,0)</f>
        <v>0</v>
      </c>
      <c r="X33">
        <f t="shared" si="22"/>
        <v>0</v>
      </c>
      <c r="Y33">
        <f t="shared" si="22"/>
        <v>0</v>
      </c>
      <c r="AA33">
        <v>60563954</v>
      </c>
      <c r="AB33">
        <f>ROUND((AC33+AD33+AF33),2)</f>
        <v>0</v>
      </c>
      <c r="AC33">
        <f>ROUND((ES33),2)</f>
        <v>0</v>
      </c>
      <c r="AD33">
        <f>ROUND((((ET33)-(EU33))+AE33),2)</f>
        <v>0</v>
      </c>
      <c r="AE33">
        <f>ROUND((EU33),2)</f>
        <v>0</v>
      </c>
      <c r="AF33">
        <f>ROUND((EV33),2)</f>
        <v>0</v>
      </c>
      <c r="AG33">
        <f>ROUND((AP33),2)</f>
        <v>0</v>
      </c>
      <c r="AH33">
        <f>(EW33)</f>
        <v>0</v>
      </c>
      <c r="AI33">
        <f>(EX33)</f>
        <v>0</v>
      </c>
      <c r="AJ33">
        <f>(AS33)</f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93</v>
      </c>
      <c r="AU33">
        <v>62</v>
      </c>
      <c r="AV33">
        <v>1</v>
      </c>
      <c r="AW33">
        <v>1</v>
      </c>
      <c r="AZ33">
        <v>1</v>
      </c>
      <c r="BA33">
        <v>1</v>
      </c>
      <c r="BB33">
        <v>1</v>
      </c>
      <c r="BC33">
        <v>1</v>
      </c>
      <c r="BD33" t="s">
        <v>3</v>
      </c>
      <c r="BE33" t="s">
        <v>3</v>
      </c>
      <c r="BF33" t="s">
        <v>3</v>
      </c>
      <c r="BG33" t="s">
        <v>3</v>
      </c>
      <c r="BH33">
        <v>3</v>
      </c>
      <c r="BI33">
        <v>1</v>
      </c>
      <c r="BJ33" t="s">
        <v>3</v>
      </c>
      <c r="BM33">
        <v>9001</v>
      </c>
      <c r="BN33">
        <v>0</v>
      </c>
      <c r="BO33" t="s">
        <v>3</v>
      </c>
      <c r="BP33">
        <v>0</v>
      </c>
      <c r="BQ33">
        <v>2</v>
      </c>
      <c r="BR33">
        <v>0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 t="s">
        <v>3</v>
      </c>
      <c r="BZ33">
        <v>93</v>
      </c>
      <c r="CA33">
        <v>62</v>
      </c>
      <c r="CB33" t="s">
        <v>3</v>
      </c>
      <c r="CE33">
        <v>0</v>
      </c>
      <c r="CF33">
        <v>0</v>
      </c>
      <c r="CG33">
        <v>0</v>
      </c>
      <c r="CM33">
        <v>0</v>
      </c>
      <c r="CN33" t="s">
        <v>358</v>
      </c>
      <c r="CO33">
        <v>0</v>
      </c>
      <c r="CP33">
        <f>(P33+Q33+S33)</f>
        <v>0</v>
      </c>
      <c r="CQ33">
        <f>AC33*BC33</f>
        <v>0</v>
      </c>
      <c r="CR33">
        <f>(((ET33)*BB33-(EU33))+AE33)</f>
        <v>0</v>
      </c>
      <c r="CS33">
        <f t="shared" si="23"/>
        <v>0</v>
      </c>
      <c r="CT33">
        <f t="shared" si="23"/>
        <v>0</v>
      </c>
      <c r="CU33">
        <f t="shared" si="23"/>
        <v>0</v>
      </c>
      <c r="CV33">
        <f t="shared" si="23"/>
        <v>0</v>
      </c>
      <c r="CW33">
        <f t="shared" si="23"/>
        <v>0</v>
      </c>
      <c r="CX33">
        <f t="shared" si="23"/>
        <v>0</v>
      </c>
      <c r="CY33">
        <f>(((S33+R33)*AT33)/100)</f>
        <v>0</v>
      </c>
      <c r="CZ33">
        <f>(((S33+R33)*AU33)/100)</f>
        <v>0</v>
      </c>
      <c r="DC33" t="s">
        <v>3</v>
      </c>
      <c r="DD33" t="s">
        <v>3</v>
      </c>
      <c r="DE33" t="s">
        <v>3</v>
      </c>
      <c r="DF33" t="s">
        <v>3</v>
      </c>
      <c r="DG33" t="s">
        <v>3</v>
      </c>
      <c r="DH33" t="s">
        <v>3</v>
      </c>
      <c r="DI33" t="s">
        <v>3</v>
      </c>
      <c r="DJ33" t="s">
        <v>3</v>
      </c>
      <c r="DK33" t="s">
        <v>3</v>
      </c>
      <c r="DL33" t="s">
        <v>3</v>
      </c>
      <c r="DM33" t="s">
        <v>3</v>
      </c>
      <c r="DN33">
        <v>0</v>
      </c>
      <c r="DO33">
        <v>0</v>
      </c>
      <c r="DP33">
        <v>1</v>
      </c>
      <c r="DQ33">
        <v>1</v>
      </c>
      <c r="DU33">
        <v>1009</v>
      </c>
      <c r="DV33" t="s">
        <v>32</v>
      </c>
      <c r="DW33" t="s">
        <v>32</v>
      </c>
      <c r="DX33">
        <v>1000</v>
      </c>
      <c r="DZ33" t="s">
        <v>3</v>
      </c>
      <c r="EA33" t="s">
        <v>3</v>
      </c>
      <c r="EB33" t="s">
        <v>3</v>
      </c>
      <c r="EC33" t="s">
        <v>3</v>
      </c>
      <c r="EE33">
        <v>48031647</v>
      </c>
      <c r="EF33">
        <v>2</v>
      </c>
      <c r="EG33" t="s">
        <v>19</v>
      </c>
      <c r="EH33">
        <v>9</v>
      </c>
      <c r="EI33" t="s">
        <v>37</v>
      </c>
      <c r="EJ33">
        <v>1</v>
      </c>
      <c r="EK33">
        <v>9001</v>
      </c>
      <c r="EL33" t="s">
        <v>37</v>
      </c>
      <c r="EM33" t="s">
        <v>38</v>
      </c>
      <c r="EO33" t="s">
        <v>85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FQ33">
        <v>0</v>
      </c>
      <c r="FR33">
        <v>0</v>
      </c>
      <c r="FS33">
        <v>0</v>
      </c>
      <c r="FX33">
        <v>93</v>
      </c>
      <c r="FY33">
        <v>62</v>
      </c>
      <c r="GA33" t="s">
        <v>3</v>
      </c>
      <c r="GD33">
        <v>1</v>
      </c>
      <c r="GF33">
        <v>748648226</v>
      </c>
      <c r="GG33">
        <v>2</v>
      </c>
      <c r="GH33">
        <v>1</v>
      </c>
      <c r="GI33">
        <v>4</v>
      </c>
      <c r="GJ33">
        <v>0</v>
      </c>
      <c r="GK33">
        <v>0</v>
      </c>
      <c r="GL33">
        <f t="shared" si="16"/>
        <v>0</v>
      </c>
      <c r="GM33">
        <f>ROUND(O33+X33+Y33,0)+GX33</f>
        <v>0</v>
      </c>
      <c r="GN33">
        <f t="shared" si="17"/>
        <v>0</v>
      </c>
      <c r="GO33">
        <f t="shared" si="18"/>
        <v>0</v>
      </c>
      <c r="GP33">
        <f t="shared" si="19"/>
        <v>0</v>
      </c>
      <c r="GR33">
        <v>0</v>
      </c>
      <c r="GS33">
        <v>3</v>
      </c>
      <c r="GT33">
        <v>0</v>
      </c>
      <c r="GU33" t="s">
        <v>3</v>
      </c>
      <c r="GV33">
        <f>ROUND((GT33),2)</f>
        <v>0</v>
      </c>
      <c r="GW33">
        <v>1</v>
      </c>
      <c r="GX33">
        <f>ROUND(HC33*I33,0)</f>
        <v>0</v>
      </c>
      <c r="HA33">
        <v>0</v>
      </c>
      <c r="HB33">
        <v>0</v>
      </c>
      <c r="HC33">
        <f>GV33*GW33</f>
        <v>0</v>
      </c>
      <c r="HE33" t="s">
        <v>3</v>
      </c>
      <c r="HF33" t="s">
        <v>3</v>
      </c>
      <c r="HI33">
        <f t="shared" si="20"/>
        <v>0</v>
      </c>
      <c r="HJ33">
        <f t="shared" si="21"/>
        <v>0</v>
      </c>
      <c r="HK33">
        <f>ROUND((((HJ33+HI33)*AT33)/100),0)</f>
        <v>0</v>
      </c>
      <c r="HL33">
        <f>ROUND((((HJ33+HI33)*AU33)/100),0)</f>
        <v>0</v>
      </c>
      <c r="HM33" t="s">
        <v>86</v>
      </c>
      <c r="HN33" t="s">
        <v>40</v>
      </c>
      <c r="HO33" t="s">
        <v>41</v>
      </c>
      <c r="HP33" t="s">
        <v>37</v>
      </c>
      <c r="HQ33" t="s">
        <v>37</v>
      </c>
      <c r="HS33">
        <v>0</v>
      </c>
      <c r="IK33">
        <v>0</v>
      </c>
    </row>
    <row r="35" spans="1:245" x14ac:dyDescent="0.2">
      <c r="A35" s="2">
        <v>51</v>
      </c>
      <c r="B35" s="2">
        <f>B20</f>
        <v>1</v>
      </c>
      <c r="C35" s="2">
        <f>A20</f>
        <v>3</v>
      </c>
      <c r="D35" s="2">
        <f>ROW(A20)</f>
        <v>20</v>
      </c>
      <c r="E35" s="2"/>
      <c r="F35" s="2" t="str">
        <f>IF(F20&lt;&gt;"",F20,"")</f>
        <v>Новая локальная смета</v>
      </c>
      <c r="G35" s="2" t="str">
        <f>IF(G20&lt;&gt;"",G20,"")</f>
        <v>Новая локальная смета</v>
      </c>
      <c r="H35" s="2">
        <v>0</v>
      </c>
      <c r="I35" s="2"/>
      <c r="J35" s="2"/>
      <c r="K35" s="2"/>
      <c r="L35" s="2"/>
      <c r="M35" s="2"/>
      <c r="N35" s="2"/>
      <c r="O35" s="2">
        <f t="shared" ref="O35:T35" si="24">ROUND(AB35,0)</f>
        <v>5779</v>
      </c>
      <c r="P35" s="2">
        <f t="shared" si="24"/>
        <v>9</v>
      </c>
      <c r="Q35" s="2">
        <f t="shared" si="24"/>
        <v>4689</v>
      </c>
      <c r="R35" s="2">
        <f t="shared" si="24"/>
        <v>530</v>
      </c>
      <c r="S35" s="2">
        <f t="shared" si="24"/>
        <v>1081</v>
      </c>
      <c r="T35" s="2">
        <f t="shared" si="24"/>
        <v>0</v>
      </c>
      <c r="U35" s="2">
        <f>AH35</f>
        <v>104.76445</v>
      </c>
      <c r="V35" s="2">
        <f>AI35</f>
        <v>39.34487</v>
      </c>
      <c r="W35" s="2">
        <f>ROUND(AJ35,0)</f>
        <v>0</v>
      </c>
      <c r="X35" s="2">
        <f>ROUND(AK35,0)</f>
        <v>1500</v>
      </c>
      <c r="Y35" s="2">
        <f>ROUND(AL35,0)</f>
        <v>1000</v>
      </c>
      <c r="Z35" s="2"/>
      <c r="AA35" s="2"/>
      <c r="AB35" s="2">
        <f>ROUND(SUMIF(AA24:AA33,"=60563954",O24:O33),0)</f>
        <v>5779</v>
      </c>
      <c r="AC35" s="2">
        <f>ROUND(SUMIF(AA24:AA33,"=60563954",P24:P33),0)</f>
        <v>9</v>
      </c>
      <c r="AD35" s="2">
        <f>ROUND(SUMIF(AA24:AA33,"=60563954",Q24:Q33),0)</f>
        <v>4689</v>
      </c>
      <c r="AE35" s="2">
        <f>ROUND(SUMIF(AA24:AA33,"=60563954",R24:R33),0)</f>
        <v>530</v>
      </c>
      <c r="AF35" s="2">
        <f>ROUND(SUMIF(AA24:AA33,"=60563954",S24:S33),0)</f>
        <v>1081</v>
      </c>
      <c r="AG35" s="2">
        <f>ROUND(SUMIF(AA24:AA33,"=60563954",T24:T33),0)</f>
        <v>0</v>
      </c>
      <c r="AH35" s="2">
        <f>SUMIF(AA24:AA33,"=60563954",U24:U33)</f>
        <v>104.76445</v>
      </c>
      <c r="AI35" s="2">
        <f>SUMIF(AA24:AA33,"=60563954",V24:V33)</f>
        <v>39.34487</v>
      </c>
      <c r="AJ35" s="2">
        <f>ROUND(SUMIF(AA24:AA33,"=60563954",W24:W33),0)</f>
        <v>0</v>
      </c>
      <c r="AK35" s="2">
        <f>ROUND(SUMIF(AA24:AA33,"=60563954",X24:X33),0)</f>
        <v>1500</v>
      </c>
      <c r="AL35" s="2">
        <f>ROUND(SUMIF(AA24:AA33,"=60563954",Y24:Y33),0)</f>
        <v>1000</v>
      </c>
      <c r="AM35" s="2"/>
      <c r="AN35" s="2"/>
      <c r="AO35" s="2">
        <f t="shared" ref="AO35:BD35" si="25">ROUND(BX35,0)</f>
        <v>0</v>
      </c>
      <c r="AP35" s="2">
        <f t="shared" si="25"/>
        <v>0</v>
      </c>
      <c r="AQ35" s="2">
        <f t="shared" si="25"/>
        <v>0</v>
      </c>
      <c r="AR35" s="2">
        <f t="shared" si="25"/>
        <v>8414</v>
      </c>
      <c r="AS35" s="2">
        <f t="shared" si="25"/>
        <v>8414</v>
      </c>
      <c r="AT35" s="2">
        <f t="shared" si="25"/>
        <v>0</v>
      </c>
      <c r="AU35" s="2">
        <f t="shared" si="25"/>
        <v>0</v>
      </c>
      <c r="AV35" s="2">
        <f t="shared" si="25"/>
        <v>9</v>
      </c>
      <c r="AW35" s="2">
        <f t="shared" si="25"/>
        <v>9</v>
      </c>
      <c r="AX35" s="2">
        <f t="shared" si="25"/>
        <v>0</v>
      </c>
      <c r="AY35" s="2">
        <f t="shared" si="25"/>
        <v>9</v>
      </c>
      <c r="AZ35" s="2">
        <f t="shared" si="25"/>
        <v>0</v>
      </c>
      <c r="BA35" s="2">
        <f t="shared" si="25"/>
        <v>0</v>
      </c>
      <c r="BB35" s="2">
        <f t="shared" si="25"/>
        <v>0</v>
      </c>
      <c r="BC35" s="2">
        <f t="shared" si="25"/>
        <v>0</v>
      </c>
      <c r="BD35" s="2">
        <f t="shared" si="25"/>
        <v>135</v>
      </c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>
        <f>ROUND(SUMIF(AA24:AA33,"=60563954",FQ24:FQ33),0)</f>
        <v>0</v>
      </c>
      <c r="BY35" s="2">
        <f>ROUND(SUMIF(AA24:AA33,"=60563954",FR24:FR33),0)</f>
        <v>0</v>
      </c>
      <c r="BZ35" s="2">
        <f>ROUND(SUMIF(AA24:AA33,"=60563954",GL24:GL33),0)</f>
        <v>0</v>
      </c>
      <c r="CA35" s="2">
        <f>ROUND(SUMIF(AA24:AA33,"=60563954",GM24:GM33),0)</f>
        <v>8414</v>
      </c>
      <c r="CB35" s="2">
        <f>ROUND(SUMIF(AA24:AA33,"=60563954",GN24:GN33),0)</f>
        <v>8414</v>
      </c>
      <c r="CC35" s="2">
        <f>ROUND(SUMIF(AA24:AA33,"=60563954",GO24:GO33),0)</f>
        <v>0</v>
      </c>
      <c r="CD35" s="2">
        <f>ROUND(SUMIF(AA24:AA33,"=60563954",GP24:GP33),0)</f>
        <v>0</v>
      </c>
      <c r="CE35" s="2">
        <f>AC35-BX35</f>
        <v>9</v>
      </c>
      <c r="CF35" s="2">
        <f>AC35-BY35</f>
        <v>9</v>
      </c>
      <c r="CG35" s="2">
        <f>BX35-BZ35</f>
        <v>0</v>
      </c>
      <c r="CH35" s="2">
        <f>AC35-BX35-BY35+BZ35</f>
        <v>9</v>
      </c>
      <c r="CI35" s="2">
        <f>BY35-BZ35</f>
        <v>0</v>
      </c>
      <c r="CJ35" s="2">
        <f>ROUND(SUMIF(AA24:AA33,"=60563954",GX24:GX33),0)</f>
        <v>0</v>
      </c>
      <c r="CK35" s="2">
        <f>ROUND(SUMIF(AA24:AA33,"=60563954",GY24:GY33),0)</f>
        <v>0</v>
      </c>
      <c r="CL35" s="2">
        <f>ROUND(SUMIF(AA24:AA33,"=60563954",GZ24:GZ33),0)</f>
        <v>0</v>
      </c>
      <c r="CM35" s="2">
        <f>ROUND(SUMIF(AA24:AA33,"=60563954",HD24:HD33),0)</f>
        <v>135</v>
      </c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>
        <v>0</v>
      </c>
    </row>
    <row r="37" spans="1:245" x14ac:dyDescent="0.2">
      <c r="A37" s="4">
        <v>50</v>
      </c>
      <c r="B37" s="4">
        <v>0</v>
      </c>
      <c r="C37" s="4">
        <v>0</v>
      </c>
      <c r="D37" s="4">
        <v>1</v>
      </c>
      <c r="E37" s="4">
        <v>201</v>
      </c>
      <c r="F37" s="4">
        <f>ROUND(Source!O35,O37)</f>
        <v>5779</v>
      </c>
      <c r="G37" s="4" t="s">
        <v>87</v>
      </c>
      <c r="H37" s="4" t="s">
        <v>88</v>
      </c>
      <c r="I37" s="4"/>
      <c r="J37" s="4"/>
      <c r="K37" s="4">
        <v>201</v>
      </c>
      <c r="L37" s="4">
        <v>1</v>
      </c>
      <c r="M37" s="4">
        <v>3</v>
      </c>
      <c r="N37" s="4" t="s">
        <v>3</v>
      </c>
      <c r="O37" s="4">
        <v>0</v>
      </c>
      <c r="P37" s="4"/>
      <c r="Q37" s="4"/>
      <c r="R37" s="4"/>
      <c r="S37" s="4"/>
      <c r="T37" s="4"/>
      <c r="U37" s="4"/>
      <c r="V37" s="4"/>
      <c r="W37" s="4">
        <v>6101</v>
      </c>
      <c r="X37" s="4">
        <v>1</v>
      </c>
      <c r="Y37" s="4">
        <v>113717</v>
      </c>
      <c r="Z37" s="4"/>
      <c r="AA37" s="4"/>
      <c r="AB37" s="4"/>
    </row>
    <row r="38" spans="1:245" x14ac:dyDescent="0.2">
      <c r="A38" s="4">
        <v>50</v>
      </c>
      <c r="B38" s="4">
        <v>0</v>
      </c>
      <c r="C38" s="4">
        <v>0</v>
      </c>
      <c r="D38" s="4">
        <v>1</v>
      </c>
      <c r="E38" s="4">
        <v>202</v>
      </c>
      <c r="F38" s="4">
        <f>ROUND(Source!P35,O38)</f>
        <v>9</v>
      </c>
      <c r="G38" s="4" t="s">
        <v>89</v>
      </c>
      <c r="H38" s="4" t="s">
        <v>90</v>
      </c>
      <c r="I38" s="4"/>
      <c r="J38" s="4"/>
      <c r="K38" s="4">
        <v>202</v>
      </c>
      <c r="L38" s="4">
        <v>2</v>
      </c>
      <c r="M38" s="4">
        <v>3</v>
      </c>
      <c r="N38" s="4" t="s">
        <v>3</v>
      </c>
      <c r="O38" s="4">
        <v>0</v>
      </c>
      <c r="P38" s="4"/>
      <c r="Q38" s="4"/>
      <c r="R38" s="4"/>
      <c r="S38" s="4"/>
      <c r="T38" s="4"/>
      <c r="U38" s="4"/>
      <c r="V38" s="4"/>
      <c r="W38" s="4">
        <v>41</v>
      </c>
      <c r="X38" s="4">
        <v>1</v>
      </c>
      <c r="Y38" s="4">
        <v>418</v>
      </c>
      <c r="Z38" s="4"/>
      <c r="AA38" s="4"/>
      <c r="AB38" s="4"/>
    </row>
    <row r="39" spans="1:245" x14ac:dyDescent="0.2">
      <c r="A39" s="4">
        <v>50</v>
      </c>
      <c r="B39" s="4">
        <v>0</v>
      </c>
      <c r="C39" s="4">
        <v>0</v>
      </c>
      <c r="D39" s="4">
        <v>1</v>
      </c>
      <c r="E39" s="4">
        <v>222</v>
      </c>
      <c r="F39" s="4">
        <f>ROUND(Source!AO35,O39)</f>
        <v>0</v>
      </c>
      <c r="G39" s="4" t="s">
        <v>91</v>
      </c>
      <c r="H39" s="4" t="s">
        <v>92</v>
      </c>
      <c r="I39" s="4"/>
      <c r="J39" s="4"/>
      <c r="K39" s="4">
        <v>222</v>
      </c>
      <c r="L39" s="4">
        <v>3</v>
      </c>
      <c r="M39" s="4">
        <v>3</v>
      </c>
      <c r="N39" s="4" t="s">
        <v>3</v>
      </c>
      <c r="O39" s="4">
        <v>0</v>
      </c>
      <c r="P39" s="4"/>
      <c r="Q39" s="4"/>
      <c r="R39" s="4"/>
      <c r="S39" s="4"/>
      <c r="T39" s="4"/>
      <c r="U39" s="4"/>
      <c r="V39" s="4"/>
      <c r="W39" s="4">
        <v>0</v>
      </c>
      <c r="X39" s="4">
        <v>1</v>
      </c>
      <c r="Y39" s="4">
        <v>0</v>
      </c>
      <c r="Z39" s="4"/>
      <c r="AA39" s="4"/>
      <c r="AB39" s="4"/>
    </row>
    <row r="40" spans="1:245" x14ac:dyDescent="0.2">
      <c r="A40" s="4">
        <v>50</v>
      </c>
      <c r="B40" s="4">
        <v>0</v>
      </c>
      <c r="C40" s="4">
        <v>0</v>
      </c>
      <c r="D40" s="4">
        <v>1</v>
      </c>
      <c r="E40" s="4">
        <v>225</v>
      </c>
      <c r="F40" s="4">
        <f>ROUND(Source!AV35,O40)</f>
        <v>9</v>
      </c>
      <c r="G40" s="4" t="s">
        <v>93</v>
      </c>
      <c r="H40" s="4" t="s">
        <v>94</v>
      </c>
      <c r="I40" s="4"/>
      <c r="J40" s="4"/>
      <c r="K40" s="4">
        <v>225</v>
      </c>
      <c r="L40" s="4">
        <v>4</v>
      </c>
      <c r="M40" s="4">
        <v>3</v>
      </c>
      <c r="N40" s="4" t="s">
        <v>3</v>
      </c>
      <c r="O40" s="4">
        <v>0</v>
      </c>
      <c r="P40" s="4"/>
      <c r="Q40" s="4"/>
      <c r="R40" s="4"/>
      <c r="S40" s="4"/>
      <c r="T40" s="4"/>
      <c r="U40" s="4"/>
      <c r="V40" s="4"/>
      <c r="W40" s="4">
        <v>41</v>
      </c>
      <c r="X40" s="4">
        <v>1</v>
      </c>
      <c r="Y40" s="4">
        <v>0</v>
      </c>
      <c r="Z40" s="4"/>
      <c r="AA40" s="4"/>
      <c r="AB40" s="4"/>
    </row>
    <row r="41" spans="1:245" x14ac:dyDescent="0.2">
      <c r="A41" s="4">
        <v>50</v>
      </c>
      <c r="B41" s="4">
        <v>0</v>
      </c>
      <c r="C41" s="4">
        <v>0</v>
      </c>
      <c r="D41" s="4">
        <v>1</v>
      </c>
      <c r="E41" s="4">
        <v>226</v>
      </c>
      <c r="F41" s="4">
        <f>ROUND(Source!AW35,O41)</f>
        <v>9</v>
      </c>
      <c r="G41" s="4" t="s">
        <v>95</v>
      </c>
      <c r="H41" s="4" t="s">
        <v>96</v>
      </c>
      <c r="I41" s="4"/>
      <c r="J41" s="4"/>
      <c r="K41" s="4">
        <v>226</v>
      </c>
      <c r="L41" s="4">
        <v>5</v>
      </c>
      <c r="M41" s="4">
        <v>3</v>
      </c>
      <c r="N41" s="4" t="s">
        <v>3</v>
      </c>
      <c r="O41" s="4">
        <v>0</v>
      </c>
      <c r="P41" s="4"/>
      <c r="Q41" s="4"/>
      <c r="R41" s="4"/>
      <c r="S41" s="4"/>
      <c r="T41" s="4"/>
      <c r="U41" s="4"/>
      <c r="V41" s="4"/>
      <c r="W41" s="4">
        <v>41</v>
      </c>
      <c r="X41" s="4">
        <v>1</v>
      </c>
      <c r="Y41" s="4">
        <v>418</v>
      </c>
      <c r="Z41" s="4"/>
      <c r="AA41" s="4"/>
      <c r="AB41" s="4"/>
    </row>
    <row r="42" spans="1:245" x14ac:dyDescent="0.2">
      <c r="A42" s="4">
        <v>50</v>
      </c>
      <c r="B42" s="4">
        <v>0</v>
      </c>
      <c r="C42" s="4">
        <v>0</v>
      </c>
      <c r="D42" s="4">
        <v>1</v>
      </c>
      <c r="E42" s="4">
        <v>227</v>
      </c>
      <c r="F42" s="4">
        <f>ROUND(Source!AX35,O42)</f>
        <v>0</v>
      </c>
      <c r="G42" s="4" t="s">
        <v>97</v>
      </c>
      <c r="H42" s="4" t="s">
        <v>98</v>
      </c>
      <c r="I42" s="4"/>
      <c r="J42" s="4"/>
      <c r="K42" s="4">
        <v>227</v>
      </c>
      <c r="L42" s="4">
        <v>6</v>
      </c>
      <c r="M42" s="4">
        <v>3</v>
      </c>
      <c r="N42" s="4" t="s">
        <v>3</v>
      </c>
      <c r="O42" s="4">
        <v>0</v>
      </c>
      <c r="P42" s="4"/>
      <c r="Q42" s="4"/>
      <c r="R42" s="4"/>
      <c r="S42" s="4"/>
      <c r="T42" s="4"/>
      <c r="U42" s="4"/>
      <c r="V42" s="4"/>
      <c r="W42" s="4">
        <v>0</v>
      </c>
      <c r="X42" s="4">
        <v>1</v>
      </c>
      <c r="Y42" s="4">
        <v>0</v>
      </c>
      <c r="Z42" s="4"/>
      <c r="AA42" s="4"/>
      <c r="AB42" s="4"/>
    </row>
    <row r="43" spans="1:245" x14ac:dyDescent="0.2">
      <c r="A43" s="4">
        <v>50</v>
      </c>
      <c r="B43" s="4">
        <v>0</v>
      </c>
      <c r="C43" s="4">
        <v>0</v>
      </c>
      <c r="D43" s="4">
        <v>1</v>
      </c>
      <c r="E43" s="4">
        <v>228</v>
      </c>
      <c r="F43" s="4">
        <f>ROUND(Source!AY35,O43)</f>
        <v>9</v>
      </c>
      <c r="G43" s="4" t="s">
        <v>99</v>
      </c>
      <c r="H43" s="4" t="s">
        <v>100</v>
      </c>
      <c r="I43" s="4"/>
      <c r="J43" s="4"/>
      <c r="K43" s="4">
        <v>228</v>
      </c>
      <c r="L43" s="4">
        <v>7</v>
      </c>
      <c r="M43" s="4">
        <v>3</v>
      </c>
      <c r="N43" s="4" t="s">
        <v>3</v>
      </c>
      <c r="O43" s="4">
        <v>0</v>
      </c>
      <c r="P43" s="4"/>
      <c r="Q43" s="4"/>
      <c r="R43" s="4"/>
      <c r="S43" s="4"/>
      <c r="T43" s="4"/>
      <c r="U43" s="4"/>
      <c r="V43" s="4"/>
      <c r="W43" s="4">
        <v>41</v>
      </c>
      <c r="X43" s="4">
        <v>1</v>
      </c>
      <c r="Y43" s="4">
        <v>418</v>
      </c>
      <c r="Z43" s="4"/>
      <c r="AA43" s="4"/>
      <c r="AB43" s="4"/>
    </row>
    <row r="44" spans="1:245" x14ac:dyDescent="0.2">
      <c r="A44" s="4">
        <v>50</v>
      </c>
      <c r="B44" s="4">
        <v>0</v>
      </c>
      <c r="C44" s="4">
        <v>0</v>
      </c>
      <c r="D44" s="4">
        <v>1</v>
      </c>
      <c r="E44" s="4">
        <v>216</v>
      </c>
      <c r="F44" s="4">
        <f>ROUND(Source!AP35,O44)</f>
        <v>0</v>
      </c>
      <c r="G44" s="4" t="s">
        <v>101</v>
      </c>
      <c r="H44" s="4" t="s">
        <v>102</v>
      </c>
      <c r="I44" s="4"/>
      <c r="J44" s="4"/>
      <c r="K44" s="4">
        <v>216</v>
      </c>
      <c r="L44" s="4">
        <v>8</v>
      </c>
      <c r="M44" s="4">
        <v>3</v>
      </c>
      <c r="N44" s="4" t="s">
        <v>3</v>
      </c>
      <c r="O44" s="4">
        <v>0</v>
      </c>
      <c r="P44" s="4"/>
      <c r="Q44" s="4"/>
      <c r="R44" s="4"/>
      <c r="S44" s="4"/>
      <c r="T44" s="4"/>
      <c r="U44" s="4"/>
      <c r="V44" s="4"/>
      <c r="W44" s="4">
        <v>0</v>
      </c>
      <c r="X44" s="4">
        <v>1</v>
      </c>
      <c r="Y44" s="4">
        <v>0</v>
      </c>
      <c r="Z44" s="4"/>
      <c r="AA44" s="4"/>
      <c r="AB44" s="4"/>
    </row>
    <row r="45" spans="1:245" x14ac:dyDescent="0.2">
      <c r="A45" s="4">
        <v>50</v>
      </c>
      <c r="B45" s="4">
        <v>0</v>
      </c>
      <c r="C45" s="4">
        <v>0</v>
      </c>
      <c r="D45" s="4">
        <v>1</v>
      </c>
      <c r="E45" s="4">
        <v>223</v>
      </c>
      <c r="F45" s="4">
        <f>ROUND(Source!AQ35,O45)</f>
        <v>0</v>
      </c>
      <c r="G45" s="4" t="s">
        <v>103</v>
      </c>
      <c r="H45" s="4" t="s">
        <v>104</v>
      </c>
      <c r="I45" s="4"/>
      <c r="J45" s="4"/>
      <c r="K45" s="4">
        <v>223</v>
      </c>
      <c r="L45" s="4">
        <v>9</v>
      </c>
      <c r="M45" s="4">
        <v>3</v>
      </c>
      <c r="N45" s="4" t="s">
        <v>3</v>
      </c>
      <c r="O45" s="4">
        <v>0</v>
      </c>
      <c r="P45" s="4"/>
      <c r="Q45" s="4"/>
      <c r="R45" s="4"/>
      <c r="S45" s="4"/>
      <c r="T45" s="4"/>
      <c r="U45" s="4"/>
      <c r="V45" s="4"/>
      <c r="W45" s="4">
        <v>0</v>
      </c>
      <c r="X45" s="4">
        <v>1</v>
      </c>
      <c r="Y45" s="4">
        <v>0</v>
      </c>
      <c r="Z45" s="4"/>
      <c r="AA45" s="4"/>
      <c r="AB45" s="4"/>
    </row>
    <row r="46" spans="1:245" x14ac:dyDescent="0.2">
      <c r="A46" s="4">
        <v>50</v>
      </c>
      <c r="B46" s="4">
        <v>0</v>
      </c>
      <c r="C46" s="4">
        <v>0</v>
      </c>
      <c r="D46" s="4">
        <v>1</v>
      </c>
      <c r="E46" s="4">
        <v>229</v>
      </c>
      <c r="F46" s="4">
        <f>ROUND(Source!AZ35,O46)</f>
        <v>0</v>
      </c>
      <c r="G46" s="4" t="s">
        <v>105</v>
      </c>
      <c r="H46" s="4" t="s">
        <v>106</v>
      </c>
      <c r="I46" s="4"/>
      <c r="J46" s="4"/>
      <c r="K46" s="4">
        <v>229</v>
      </c>
      <c r="L46" s="4">
        <v>10</v>
      </c>
      <c r="M46" s="4">
        <v>3</v>
      </c>
      <c r="N46" s="4" t="s">
        <v>3</v>
      </c>
      <c r="O46" s="4">
        <v>0</v>
      </c>
      <c r="P46" s="4"/>
      <c r="Q46" s="4"/>
      <c r="R46" s="4"/>
      <c r="S46" s="4"/>
      <c r="T46" s="4"/>
      <c r="U46" s="4"/>
      <c r="V46" s="4"/>
      <c r="W46" s="4">
        <v>0</v>
      </c>
      <c r="X46" s="4">
        <v>1</v>
      </c>
      <c r="Y46" s="4">
        <v>0</v>
      </c>
      <c r="Z46" s="4"/>
      <c r="AA46" s="4"/>
      <c r="AB46" s="4"/>
    </row>
    <row r="47" spans="1:245" x14ac:dyDescent="0.2">
      <c r="A47" s="4">
        <v>50</v>
      </c>
      <c r="B47" s="4">
        <v>0</v>
      </c>
      <c r="C47" s="4">
        <v>0</v>
      </c>
      <c r="D47" s="4">
        <v>1</v>
      </c>
      <c r="E47" s="4">
        <v>203</v>
      </c>
      <c r="F47" s="4">
        <f>ROUND(Source!Q35,O47)</f>
        <v>4689</v>
      </c>
      <c r="G47" s="4" t="s">
        <v>107</v>
      </c>
      <c r="H47" s="4" t="s">
        <v>108</v>
      </c>
      <c r="I47" s="4"/>
      <c r="J47" s="4"/>
      <c r="K47" s="4">
        <v>203</v>
      </c>
      <c r="L47" s="4">
        <v>11</v>
      </c>
      <c r="M47" s="4">
        <v>3</v>
      </c>
      <c r="N47" s="4" t="s">
        <v>3</v>
      </c>
      <c r="O47" s="4">
        <v>0</v>
      </c>
      <c r="P47" s="4"/>
      <c r="Q47" s="4"/>
      <c r="R47" s="4"/>
      <c r="S47" s="4"/>
      <c r="T47" s="4"/>
      <c r="U47" s="4"/>
      <c r="V47" s="4"/>
      <c r="W47" s="4">
        <v>4761</v>
      </c>
      <c r="X47" s="4">
        <v>1</v>
      </c>
      <c r="Y47" s="4">
        <v>67987</v>
      </c>
      <c r="Z47" s="4"/>
      <c r="AA47" s="4"/>
      <c r="AB47" s="4"/>
    </row>
    <row r="48" spans="1:245" x14ac:dyDescent="0.2">
      <c r="A48" s="4">
        <v>50</v>
      </c>
      <c r="B48" s="4">
        <v>0</v>
      </c>
      <c r="C48" s="4">
        <v>0</v>
      </c>
      <c r="D48" s="4">
        <v>1</v>
      </c>
      <c r="E48" s="4">
        <v>231</v>
      </c>
      <c r="F48" s="4">
        <f>ROUND(Source!BB35,O48)</f>
        <v>0</v>
      </c>
      <c r="G48" s="4" t="s">
        <v>109</v>
      </c>
      <c r="H48" s="4" t="s">
        <v>110</v>
      </c>
      <c r="I48" s="4"/>
      <c r="J48" s="4"/>
      <c r="K48" s="4">
        <v>231</v>
      </c>
      <c r="L48" s="4">
        <v>12</v>
      </c>
      <c r="M48" s="4">
        <v>3</v>
      </c>
      <c r="N48" s="4" t="s">
        <v>3</v>
      </c>
      <c r="O48" s="4">
        <v>0</v>
      </c>
      <c r="P48" s="4"/>
      <c r="Q48" s="4"/>
      <c r="R48" s="4"/>
      <c r="S48" s="4"/>
      <c r="T48" s="4"/>
      <c r="U48" s="4"/>
      <c r="V48" s="4"/>
      <c r="W48" s="4">
        <v>0</v>
      </c>
      <c r="X48" s="4">
        <v>1</v>
      </c>
      <c r="Y48" s="4">
        <v>0</v>
      </c>
      <c r="Z48" s="4"/>
      <c r="AA48" s="4"/>
      <c r="AB48" s="4"/>
    </row>
    <row r="49" spans="1:28" x14ac:dyDescent="0.2">
      <c r="A49" s="4">
        <v>50</v>
      </c>
      <c r="B49" s="4">
        <v>0</v>
      </c>
      <c r="C49" s="4">
        <v>0</v>
      </c>
      <c r="D49" s="4">
        <v>1</v>
      </c>
      <c r="E49" s="4">
        <v>204</v>
      </c>
      <c r="F49" s="4">
        <f>ROUND(Source!R35,O49)</f>
        <v>530</v>
      </c>
      <c r="G49" s="4" t="s">
        <v>111</v>
      </c>
      <c r="H49" s="4" t="s">
        <v>112</v>
      </c>
      <c r="I49" s="4"/>
      <c r="J49" s="4"/>
      <c r="K49" s="4">
        <v>204</v>
      </c>
      <c r="L49" s="4">
        <v>13</v>
      </c>
      <c r="M49" s="4">
        <v>3</v>
      </c>
      <c r="N49" s="4" t="s">
        <v>3</v>
      </c>
      <c r="O49" s="4">
        <v>0</v>
      </c>
      <c r="P49" s="4"/>
      <c r="Q49" s="4"/>
      <c r="R49" s="4"/>
      <c r="S49" s="4"/>
      <c r="T49" s="4"/>
      <c r="U49" s="4"/>
      <c r="V49" s="4"/>
      <c r="W49" s="4">
        <v>538</v>
      </c>
      <c r="X49" s="4">
        <v>1</v>
      </c>
      <c r="Y49" s="4">
        <v>20067</v>
      </c>
      <c r="Z49" s="4"/>
      <c r="AA49" s="4"/>
      <c r="AB49" s="4"/>
    </row>
    <row r="50" spans="1:28" x14ac:dyDescent="0.2">
      <c r="A50" s="4">
        <v>50</v>
      </c>
      <c r="B50" s="4">
        <v>0</v>
      </c>
      <c r="C50" s="4">
        <v>0</v>
      </c>
      <c r="D50" s="4">
        <v>1</v>
      </c>
      <c r="E50" s="4">
        <v>205</v>
      </c>
      <c r="F50" s="4">
        <f>ROUND(Source!S35,O50)</f>
        <v>1081</v>
      </c>
      <c r="G50" s="4" t="s">
        <v>113</v>
      </c>
      <c r="H50" s="4" t="s">
        <v>114</v>
      </c>
      <c r="I50" s="4"/>
      <c r="J50" s="4"/>
      <c r="K50" s="4">
        <v>205</v>
      </c>
      <c r="L50" s="4">
        <v>14</v>
      </c>
      <c r="M50" s="4">
        <v>3</v>
      </c>
      <c r="N50" s="4" t="s">
        <v>3</v>
      </c>
      <c r="O50" s="4">
        <v>0</v>
      </c>
      <c r="P50" s="4"/>
      <c r="Q50" s="4"/>
      <c r="R50" s="4"/>
      <c r="S50" s="4"/>
      <c r="T50" s="4"/>
      <c r="U50" s="4"/>
      <c r="V50" s="4"/>
      <c r="W50" s="4">
        <v>1162</v>
      </c>
      <c r="X50" s="4">
        <v>1</v>
      </c>
      <c r="Y50" s="4">
        <v>43342</v>
      </c>
      <c r="Z50" s="4"/>
      <c r="AA50" s="4"/>
      <c r="AB50" s="4"/>
    </row>
    <row r="51" spans="1:28" x14ac:dyDescent="0.2">
      <c r="A51" s="4">
        <v>50</v>
      </c>
      <c r="B51" s="4">
        <v>0</v>
      </c>
      <c r="C51" s="4">
        <v>0</v>
      </c>
      <c r="D51" s="4">
        <v>1</v>
      </c>
      <c r="E51" s="4">
        <v>232</v>
      </c>
      <c r="F51" s="4">
        <f>ROUND(Source!BC35,O51)</f>
        <v>0</v>
      </c>
      <c r="G51" s="4" t="s">
        <v>115</v>
      </c>
      <c r="H51" s="4" t="s">
        <v>116</v>
      </c>
      <c r="I51" s="4"/>
      <c r="J51" s="4"/>
      <c r="K51" s="4">
        <v>232</v>
      </c>
      <c r="L51" s="4">
        <v>15</v>
      </c>
      <c r="M51" s="4">
        <v>3</v>
      </c>
      <c r="N51" s="4" t="s">
        <v>3</v>
      </c>
      <c r="O51" s="4">
        <v>0</v>
      </c>
      <c r="P51" s="4"/>
      <c r="Q51" s="4"/>
      <c r="R51" s="4"/>
      <c r="S51" s="4"/>
      <c r="T51" s="4"/>
      <c r="U51" s="4"/>
      <c r="V51" s="4"/>
      <c r="W51" s="4">
        <v>0</v>
      </c>
      <c r="X51" s="4">
        <v>1</v>
      </c>
      <c r="Y51" s="4">
        <v>0</v>
      </c>
      <c r="Z51" s="4"/>
      <c r="AA51" s="4"/>
      <c r="AB51" s="4"/>
    </row>
    <row r="52" spans="1:28" x14ac:dyDescent="0.2">
      <c r="A52" s="4">
        <v>50</v>
      </c>
      <c r="B52" s="4">
        <v>0</v>
      </c>
      <c r="C52" s="4">
        <v>0</v>
      </c>
      <c r="D52" s="4">
        <v>1</v>
      </c>
      <c r="E52" s="4">
        <v>214</v>
      </c>
      <c r="F52" s="4">
        <f>ROUND(Source!AS35,O52)</f>
        <v>8414</v>
      </c>
      <c r="G52" s="4" t="s">
        <v>117</v>
      </c>
      <c r="H52" s="4" t="s">
        <v>118</v>
      </c>
      <c r="I52" s="4"/>
      <c r="J52" s="4"/>
      <c r="K52" s="4">
        <v>214</v>
      </c>
      <c r="L52" s="4">
        <v>16</v>
      </c>
      <c r="M52" s="4">
        <v>3</v>
      </c>
      <c r="N52" s="4" t="s">
        <v>3</v>
      </c>
      <c r="O52" s="4">
        <v>0</v>
      </c>
      <c r="P52" s="4"/>
      <c r="Q52" s="4"/>
      <c r="R52" s="4"/>
      <c r="S52" s="4"/>
      <c r="T52" s="4"/>
      <c r="U52" s="4"/>
      <c r="V52" s="4"/>
      <c r="W52" s="4">
        <v>8756</v>
      </c>
      <c r="X52" s="4">
        <v>1</v>
      </c>
      <c r="Y52" s="4">
        <v>212735</v>
      </c>
      <c r="Z52" s="4"/>
      <c r="AA52" s="4"/>
      <c r="AB52" s="4"/>
    </row>
    <row r="53" spans="1:28" x14ac:dyDescent="0.2">
      <c r="A53" s="4">
        <v>50</v>
      </c>
      <c r="B53" s="4">
        <v>0</v>
      </c>
      <c r="C53" s="4">
        <v>0</v>
      </c>
      <c r="D53" s="4">
        <v>1</v>
      </c>
      <c r="E53" s="4">
        <v>215</v>
      </c>
      <c r="F53" s="4">
        <f>ROUND(Source!AT35,O53)</f>
        <v>0</v>
      </c>
      <c r="G53" s="4" t="s">
        <v>119</v>
      </c>
      <c r="H53" s="4" t="s">
        <v>120</v>
      </c>
      <c r="I53" s="4"/>
      <c r="J53" s="4"/>
      <c r="K53" s="4">
        <v>215</v>
      </c>
      <c r="L53" s="4">
        <v>17</v>
      </c>
      <c r="M53" s="4">
        <v>3</v>
      </c>
      <c r="N53" s="4" t="s">
        <v>3</v>
      </c>
      <c r="O53" s="4">
        <v>0</v>
      </c>
      <c r="P53" s="4"/>
      <c r="Q53" s="4"/>
      <c r="R53" s="4"/>
      <c r="S53" s="4"/>
      <c r="T53" s="4"/>
      <c r="U53" s="4"/>
      <c r="V53" s="4"/>
      <c r="W53" s="4">
        <v>0</v>
      </c>
      <c r="X53" s="4">
        <v>1</v>
      </c>
      <c r="Y53" s="4">
        <v>0</v>
      </c>
      <c r="Z53" s="4"/>
      <c r="AA53" s="4"/>
      <c r="AB53" s="4"/>
    </row>
    <row r="54" spans="1:28" x14ac:dyDescent="0.2">
      <c r="A54" s="4">
        <v>50</v>
      </c>
      <c r="B54" s="4">
        <v>0</v>
      </c>
      <c r="C54" s="4">
        <v>0</v>
      </c>
      <c r="D54" s="4">
        <v>1</v>
      </c>
      <c r="E54" s="4">
        <v>217</v>
      </c>
      <c r="F54" s="4">
        <f>ROUND(Source!AU35,O54)</f>
        <v>0</v>
      </c>
      <c r="G54" s="4" t="s">
        <v>121</v>
      </c>
      <c r="H54" s="4" t="s">
        <v>122</v>
      </c>
      <c r="I54" s="4"/>
      <c r="J54" s="4"/>
      <c r="K54" s="4">
        <v>217</v>
      </c>
      <c r="L54" s="4">
        <v>18</v>
      </c>
      <c r="M54" s="4">
        <v>3</v>
      </c>
      <c r="N54" s="4" t="s">
        <v>3</v>
      </c>
      <c r="O54" s="4">
        <v>0</v>
      </c>
      <c r="P54" s="4"/>
      <c r="Q54" s="4"/>
      <c r="R54" s="4"/>
      <c r="S54" s="4"/>
      <c r="T54" s="4"/>
      <c r="U54" s="4"/>
      <c r="V54" s="4"/>
      <c r="W54" s="4">
        <v>0</v>
      </c>
      <c r="X54" s="4">
        <v>1</v>
      </c>
      <c r="Y54" s="4">
        <v>0</v>
      </c>
      <c r="Z54" s="4"/>
      <c r="AA54" s="4"/>
      <c r="AB54" s="4"/>
    </row>
    <row r="55" spans="1:28" x14ac:dyDescent="0.2">
      <c r="A55" s="4">
        <v>50</v>
      </c>
      <c r="B55" s="4">
        <v>0</v>
      </c>
      <c r="C55" s="4">
        <v>0</v>
      </c>
      <c r="D55" s="4">
        <v>1</v>
      </c>
      <c r="E55" s="4">
        <v>230</v>
      </c>
      <c r="F55" s="4">
        <f>ROUND(Source!BA35,O55)</f>
        <v>0</v>
      </c>
      <c r="G55" s="4" t="s">
        <v>123</v>
      </c>
      <c r="H55" s="4" t="s">
        <v>124</v>
      </c>
      <c r="I55" s="4"/>
      <c r="J55" s="4"/>
      <c r="K55" s="4">
        <v>230</v>
      </c>
      <c r="L55" s="4">
        <v>19</v>
      </c>
      <c r="M55" s="4">
        <v>3</v>
      </c>
      <c r="N55" s="4" t="s">
        <v>3</v>
      </c>
      <c r="O55" s="4">
        <v>0</v>
      </c>
      <c r="P55" s="4"/>
      <c r="Q55" s="4"/>
      <c r="R55" s="4"/>
      <c r="S55" s="4"/>
      <c r="T55" s="4"/>
      <c r="U55" s="4"/>
      <c r="V55" s="4"/>
      <c r="W55" s="4">
        <v>0</v>
      </c>
      <c r="X55" s="4">
        <v>1</v>
      </c>
      <c r="Y55" s="4">
        <v>0</v>
      </c>
      <c r="Z55" s="4"/>
      <c r="AA55" s="4"/>
      <c r="AB55" s="4"/>
    </row>
    <row r="56" spans="1:28" x14ac:dyDescent="0.2">
      <c r="A56" s="4">
        <v>50</v>
      </c>
      <c r="B56" s="4">
        <v>0</v>
      </c>
      <c r="C56" s="4">
        <v>0</v>
      </c>
      <c r="D56" s="4">
        <v>1</v>
      </c>
      <c r="E56" s="4">
        <v>206</v>
      </c>
      <c r="F56" s="4">
        <f>ROUND(Source!T35,O56)</f>
        <v>0</v>
      </c>
      <c r="G56" s="4" t="s">
        <v>125</v>
      </c>
      <c r="H56" s="4" t="s">
        <v>126</v>
      </c>
      <c r="I56" s="4"/>
      <c r="J56" s="4"/>
      <c r="K56" s="4">
        <v>206</v>
      </c>
      <c r="L56" s="4">
        <v>20</v>
      </c>
      <c r="M56" s="4">
        <v>3</v>
      </c>
      <c r="N56" s="4" t="s">
        <v>3</v>
      </c>
      <c r="O56" s="4">
        <v>0</v>
      </c>
      <c r="P56" s="4"/>
      <c r="Q56" s="4"/>
      <c r="R56" s="4"/>
      <c r="S56" s="4"/>
      <c r="T56" s="4"/>
      <c r="U56" s="4"/>
      <c r="V56" s="4"/>
      <c r="W56" s="4">
        <v>0</v>
      </c>
      <c r="X56" s="4">
        <v>1</v>
      </c>
      <c r="Y56" s="4">
        <v>0</v>
      </c>
      <c r="Z56" s="4"/>
      <c r="AA56" s="4"/>
      <c r="AB56" s="4"/>
    </row>
    <row r="57" spans="1:28" x14ac:dyDescent="0.2">
      <c r="A57" s="4">
        <v>50</v>
      </c>
      <c r="B57" s="4">
        <v>0</v>
      </c>
      <c r="C57" s="4">
        <v>0</v>
      </c>
      <c r="D57" s="4">
        <v>1</v>
      </c>
      <c r="E57" s="4">
        <v>207</v>
      </c>
      <c r="F57" s="4">
        <f>ROUND(Source!U35,O57)</f>
        <v>104.76445</v>
      </c>
      <c r="G57" s="4" t="s">
        <v>127</v>
      </c>
      <c r="H57" s="4" t="s">
        <v>128</v>
      </c>
      <c r="I57" s="4"/>
      <c r="J57" s="4"/>
      <c r="K57" s="4">
        <v>207</v>
      </c>
      <c r="L57" s="4">
        <v>21</v>
      </c>
      <c r="M57" s="4">
        <v>3</v>
      </c>
      <c r="N57" s="4" t="s">
        <v>3</v>
      </c>
      <c r="O57" s="4">
        <v>7</v>
      </c>
      <c r="P57" s="4"/>
      <c r="Q57" s="4"/>
      <c r="R57" s="4"/>
      <c r="S57" s="4"/>
      <c r="T57" s="4"/>
      <c r="U57" s="4"/>
      <c r="V57" s="4"/>
      <c r="W57" s="4">
        <v>113.77800000000001</v>
      </c>
      <c r="X57" s="4">
        <v>1</v>
      </c>
      <c r="Y57" s="4">
        <v>113.77800000000001</v>
      </c>
      <c r="Z57" s="4"/>
      <c r="AA57" s="4"/>
      <c r="AB57" s="4"/>
    </row>
    <row r="58" spans="1:28" x14ac:dyDescent="0.2">
      <c r="A58" s="4">
        <v>50</v>
      </c>
      <c r="B58" s="4">
        <v>0</v>
      </c>
      <c r="C58" s="4">
        <v>0</v>
      </c>
      <c r="D58" s="4">
        <v>1</v>
      </c>
      <c r="E58" s="4">
        <v>208</v>
      </c>
      <c r="F58" s="4">
        <f>ROUND(Source!V35,O58)</f>
        <v>39.34487</v>
      </c>
      <c r="G58" s="4" t="s">
        <v>129</v>
      </c>
      <c r="H58" s="4" t="s">
        <v>130</v>
      </c>
      <c r="I58" s="4"/>
      <c r="J58" s="4"/>
      <c r="K58" s="4">
        <v>208</v>
      </c>
      <c r="L58" s="4">
        <v>22</v>
      </c>
      <c r="M58" s="4">
        <v>3</v>
      </c>
      <c r="N58" s="4" t="s">
        <v>3</v>
      </c>
      <c r="O58" s="4">
        <v>7</v>
      </c>
      <c r="P58" s="4"/>
      <c r="Q58" s="4"/>
      <c r="R58" s="4"/>
      <c r="S58" s="4"/>
      <c r="T58" s="4"/>
      <c r="U58" s="4"/>
      <c r="V58" s="4"/>
      <c r="W58" s="4">
        <v>39.951599999999999</v>
      </c>
      <c r="X58" s="4">
        <v>1</v>
      </c>
      <c r="Y58" s="4">
        <v>39.951599999999999</v>
      </c>
      <c r="Z58" s="4"/>
      <c r="AA58" s="4"/>
      <c r="AB58" s="4"/>
    </row>
    <row r="59" spans="1:28" x14ac:dyDescent="0.2">
      <c r="A59" s="4">
        <v>50</v>
      </c>
      <c r="B59" s="4">
        <v>0</v>
      </c>
      <c r="C59" s="4">
        <v>0</v>
      </c>
      <c r="D59" s="4">
        <v>1</v>
      </c>
      <c r="E59" s="4">
        <v>209</v>
      </c>
      <c r="F59" s="4">
        <f>ROUND(Source!W35,O59)</f>
        <v>0</v>
      </c>
      <c r="G59" s="4" t="s">
        <v>131</v>
      </c>
      <c r="H59" s="4" t="s">
        <v>132</v>
      </c>
      <c r="I59" s="4"/>
      <c r="J59" s="4"/>
      <c r="K59" s="4">
        <v>209</v>
      </c>
      <c r="L59" s="4">
        <v>23</v>
      </c>
      <c r="M59" s="4">
        <v>3</v>
      </c>
      <c r="N59" s="4" t="s">
        <v>3</v>
      </c>
      <c r="O59" s="4">
        <v>0</v>
      </c>
      <c r="P59" s="4"/>
      <c r="Q59" s="4"/>
      <c r="R59" s="4"/>
      <c r="S59" s="4"/>
      <c r="T59" s="4"/>
      <c r="U59" s="4"/>
      <c r="V59" s="4"/>
      <c r="W59" s="4">
        <v>0</v>
      </c>
      <c r="X59" s="4">
        <v>1</v>
      </c>
      <c r="Y59" s="4">
        <v>0</v>
      </c>
      <c r="Z59" s="4"/>
      <c r="AA59" s="4"/>
      <c r="AB59" s="4"/>
    </row>
    <row r="60" spans="1:28" x14ac:dyDescent="0.2">
      <c r="A60" s="4">
        <v>50</v>
      </c>
      <c r="B60" s="4">
        <v>0</v>
      </c>
      <c r="C60" s="4">
        <v>0</v>
      </c>
      <c r="D60" s="4">
        <v>1</v>
      </c>
      <c r="E60" s="4">
        <v>233</v>
      </c>
      <c r="F60" s="4">
        <f>ROUND(Source!BD35,O60)</f>
        <v>135</v>
      </c>
      <c r="G60" s="4" t="s">
        <v>133</v>
      </c>
      <c r="H60" s="4" t="s">
        <v>134</v>
      </c>
      <c r="I60" s="4"/>
      <c r="J60" s="4"/>
      <c r="K60" s="4">
        <v>233</v>
      </c>
      <c r="L60" s="4">
        <v>24</v>
      </c>
      <c r="M60" s="4">
        <v>3</v>
      </c>
      <c r="N60" s="4" t="s">
        <v>3</v>
      </c>
      <c r="O60" s="4">
        <v>0</v>
      </c>
      <c r="P60" s="4"/>
      <c r="Q60" s="4"/>
      <c r="R60" s="4"/>
      <c r="S60" s="4"/>
      <c r="T60" s="4"/>
      <c r="U60" s="4"/>
      <c r="V60" s="4"/>
      <c r="W60" s="4">
        <v>137</v>
      </c>
      <c r="X60" s="4">
        <v>1</v>
      </c>
      <c r="Y60" s="4">
        <v>1970</v>
      </c>
      <c r="Z60" s="4"/>
      <c r="AA60" s="4"/>
      <c r="AB60" s="4"/>
    </row>
    <row r="61" spans="1:28" x14ac:dyDescent="0.2">
      <c r="A61" s="4">
        <v>50</v>
      </c>
      <c r="B61" s="4">
        <v>0</v>
      </c>
      <c r="C61" s="4">
        <v>0</v>
      </c>
      <c r="D61" s="4">
        <v>1</v>
      </c>
      <c r="E61" s="4">
        <v>210</v>
      </c>
      <c r="F61" s="4">
        <f>ROUND(Source!X35,O61)</f>
        <v>1500</v>
      </c>
      <c r="G61" s="4" t="s">
        <v>135</v>
      </c>
      <c r="H61" s="4" t="s">
        <v>136</v>
      </c>
      <c r="I61" s="4"/>
      <c r="J61" s="4"/>
      <c r="K61" s="4">
        <v>210</v>
      </c>
      <c r="L61" s="4">
        <v>25</v>
      </c>
      <c r="M61" s="4">
        <v>3</v>
      </c>
      <c r="N61" s="4" t="s">
        <v>3</v>
      </c>
      <c r="O61" s="4">
        <v>0</v>
      </c>
      <c r="P61" s="4"/>
      <c r="Q61" s="4"/>
      <c r="R61" s="4"/>
      <c r="S61" s="4"/>
      <c r="T61" s="4"/>
      <c r="U61" s="4"/>
      <c r="V61" s="4"/>
      <c r="W61" s="4">
        <v>1595</v>
      </c>
      <c r="X61" s="4">
        <v>1</v>
      </c>
      <c r="Y61" s="4">
        <v>59490</v>
      </c>
      <c r="Z61" s="4"/>
      <c r="AA61" s="4"/>
      <c r="AB61" s="4"/>
    </row>
    <row r="62" spans="1:28" x14ac:dyDescent="0.2">
      <c r="A62" s="4">
        <v>50</v>
      </c>
      <c r="B62" s="4">
        <v>0</v>
      </c>
      <c r="C62" s="4">
        <v>0</v>
      </c>
      <c r="D62" s="4">
        <v>1</v>
      </c>
      <c r="E62" s="4">
        <v>211</v>
      </c>
      <c r="F62" s="4">
        <f>ROUND(Source!Y35,O62)</f>
        <v>1000</v>
      </c>
      <c r="G62" s="4" t="s">
        <v>137</v>
      </c>
      <c r="H62" s="4" t="s">
        <v>138</v>
      </c>
      <c r="I62" s="4"/>
      <c r="J62" s="4"/>
      <c r="K62" s="4">
        <v>211</v>
      </c>
      <c r="L62" s="4">
        <v>26</v>
      </c>
      <c r="M62" s="4">
        <v>3</v>
      </c>
      <c r="N62" s="4" t="s">
        <v>3</v>
      </c>
      <c r="O62" s="4">
        <v>0</v>
      </c>
      <c r="P62" s="4"/>
      <c r="Q62" s="4"/>
      <c r="R62" s="4"/>
      <c r="S62" s="4"/>
      <c r="T62" s="4"/>
      <c r="U62" s="4"/>
      <c r="V62" s="4"/>
      <c r="W62" s="4">
        <v>1060</v>
      </c>
      <c r="X62" s="4">
        <v>1</v>
      </c>
      <c r="Y62" s="4">
        <v>39528</v>
      </c>
      <c r="Z62" s="4"/>
      <c r="AA62" s="4"/>
      <c r="AB62" s="4"/>
    </row>
    <row r="63" spans="1:28" x14ac:dyDescent="0.2">
      <c r="A63" s="4">
        <v>50</v>
      </c>
      <c r="B63" s="4">
        <v>0</v>
      </c>
      <c r="C63" s="4">
        <v>0</v>
      </c>
      <c r="D63" s="4">
        <v>1</v>
      </c>
      <c r="E63" s="4">
        <v>224</v>
      </c>
      <c r="F63" s="4">
        <f>ROUND(Source!AR35,O63)</f>
        <v>8414</v>
      </c>
      <c r="G63" s="4" t="s">
        <v>139</v>
      </c>
      <c r="H63" s="4" t="s">
        <v>140</v>
      </c>
      <c r="I63" s="4"/>
      <c r="J63" s="4"/>
      <c r="K63" s="4">
        <v>224</v>
      </c>
      <c r="L63" s="4">
        <v>27</v>
      </c>
      <c r="M63" s="4">
        <v>3</v>
      </c>
      <c r="N63" s="4" t="s">
        <v>3</v>
      </c>
      <c r="O63" s="4">
        <v>0</v>
      </c>
      <c r="P63" s="4"/>
      <c r="Q63" s="4"/>
      <c r="R63" s="4"/>
      <c r="S63" s="4"/>
      <c r="T63" s="4"/>
      <c r="U63" s="4"/>
      <c r="V63" s="4"/>
      <c r="W63" s="4">
        <v>8756</v>
      </c>
      <c r="X63" s="4">
        <v>1</v>
      </c>
      <c r="Y63" s="4">
        <v>212735</v>
      </c>
      <c r="Z63" s="4"/>
      <c r="AA63" s="4"/>
      <c r="AB63" s="4"/>
    </row>
    <row r="65" spans="1:206" x14ac:dyDescent="0.2">
      <c r="A65" s="2">
        <v>51</v>
      </c>
      <c r="B65" s="2">
        <f>B12</f>
        <v>121</v>
      </c>
      <c r="C65" s="2">
        <f>A12</f>
        <v>1</v>
      </c>
      <c r="D65" s="2">
        <f>ROW(A12)</f>
        <v>12</v>
      </c>
      <c r="E65" s="2"/>
      <c r="F65" s="2" t="str">
        <f>IF(F12&lt;&gt;"",F12,"")</f>
        <v>Новый объект</v>
      </c>
      <c r="G65" s="2" t="str">
        <f>IF(G12&lt;&gt;"",G12,"")</f>
        <v>Вод башня</v>
      </c>
      <c r="H65" s="2">
        <v>0</v>
      </c>
      <c r="I65" s="2"/>
      <c r="J65" s="2"/>
      <c r="K65" s="2"/>
      <c r="L65" s="2"/>
      <c r="M65" s="2"/>
      <c r="N65" s="2"/>
      <c r="O65" s="2">
        <f t="shared" ref="O65:T65" si="26">ROUND(O35,0)</f>
        <v>5779</v>
      </c>
      <c r="P65" s="2">
        <f t="shared" si="26"/>
        <v>9</v>
      </c>
      <c r="Q65" s="2">
        <f t="shared" si="26"/>
        <v>4689</v>
      </c>
      <c r="R65" s="2">
        <f t="shared" si="26"/>
        <v>530</v>
      </c>
      <c r="S65" s="2">
        <f t="shared" si="26"/>
        <v>1081</v>
      </c>
      <c r="T65" s="2">
        <f t="shared" si="26"/>
        <v>0</v>
      </c>
      <c r="U65" s="2">
        <f>U35</f>
        <v>104.76445</v>
      </c>
      <c r="V65" s="2">
        <f>V35</f>
        <v>39.34487</v>
      </c>
      <c r="W65" s="2">
        <f>ROUND(W35,0)</f>
        <v>0</v>
      </c>
      <c r="X65" s="2">
        <f>ROUND(X35,0)</f>
        <v>1500</v>
      </c>
      <c r="Y65" s="2">
        <f>ROUND(Y35,0)</f>
        <v>1000</v>
      </c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>
        <f t="shared" ref="AO65:BD65" si="27">ROUND(AO35,0)</f>
        <v>0</v>
      </c>
      <c r="AP65" s="2">
        <f t="shared" si="27"/>
        <v>0</v>
      </c>
      <c r="AQ65" s="2">
        <f t="shared" si="27"/>
        <v>0</v>
      </c>
      <c r="AR65" s="2">
        <f t="shared" si="27"/>
        <v>8414</v>
      </c>
      <c r="AS65" s="2">
        <f t="shared" si="27"/>
        <v>8414</v>
      </c>
      <c r="AT65" s="2">
        <f t="shared" si="27"/>
        <v>0</v>
      </c>
      <c r="AU65" s="2">
        <f t="shared" si="27"/>
        <v>0</v>
      </c>
      <c r="AV65" s="2">
        <f t="shared" si="27"/>
        <v>9</v>
      </c>
      <c r="AW65" s="2">
        <f t="shared" si="27"/>
        <v>9</v>
      </c>
      <c r="AX65" s="2">
        <f t="shared" si="27"/>
        <v>0</v>
      </c>
      <c r="AY65" s="2">
        <f t="shared" si="27"/>
        <v>9</v>
      </c>
      <c r="AZ65" s="2">
        <f t="shared" si="27"/>
        <v>0</v>
      </c>
      <c r="BA65" s="2">
        <f t="shared" si="27"/>
        <v>0</v>
      </c>
      <c r="BB65" s="2">
        <f t="shared" si="27"/>
        <v>0</v>
      </c>
      <c r="BC65" s="2">
        <f t="shared" si="27"/>
        <v>0</v>
      </c>
      <c r="BD65" s="2">
        <f t="shared" si="27"/>
        <v>135</v>
      </c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>
        <v>0</v>
      </c>
    </row>
    <row r="67" spans="1:206" x14ac:dyDescent="0.2">
      <c r="A67" s="4">
        <v>50</v>
      </c>
      <c r="B67" s="4">
        <v>0</v>
      </c>
      <c r="C67" s="4">
        <v>0</v>
      </c>
      <c r="D67" s="4">
        <v>1</v>
      </c>
      <c r="E67" s="4">
        <v>201</v>
      </c>
      <c r="F67" s="4">
        <f>ROUND(Source!O65,O67)</f>
        <v>5779</v>
      </c>
      <c r="G67" s="4" t="s">
        <v>87</v>
      </c>
      <c r="H67" s="4" t="s">
        <v>88</v>
      </c>
      <c r="I67" s="4"/>
      <c r="J67" s="4"/>
      <c r="K67" s="4">
        <v>201</v>
      </c>
      <c r="L67" s="4">
        <v>1</v>
      </c>
      <c r="M67" s="4">
        <v>3</v>
      </c>
      <c r="N67" s="4" t="s">
        <v>3</v>
      </c>
      <c r="O67" s="4">
        <v>0</v>
      </c>
      <c r="P67" s="4"/>
      <c r="Q67" s="4"/>
      <c r="R67" s="4"/>
      <c r="S67" s="4"/>
      <c r="T67" s="4"/>
      <c r="U67" s="4"/>
      <c r="V67" s="4"/>
      <c r="W67" s="4">
        <v>6101</v>
      </c>
      <c r="X67" s="4">
        <v>1</v>
      </c>
      <c r="Y67" s="4">
        <v>113717</v>
      </c>
      <c r="Z67" s="4"/>
      <c r="AA67" s="4"/>
      <c r="AB67" s="4"/>
    </row>
    <row r="68" spans="1:206" x14ac:dyDescent="0.2">
      <c r="A68" s="4">
        <v>50</v>
      </c>
      <c r="B68" s="4">
        <v>0</v>
      </c>
      <c r="C68" s="4">
        <v>0</v>
      </c>
      <c r="D68" s="4">
        <v>1</v>
      </c>
      <c r="E68" s="4">
        <v>202</v>
      </c>
      <c r="F68" s="4">
        <f>ROUND(Source!P65,O68)</f>
        <v>9</v>
      </c>
      <c r="G68" s="4" t="s">
        <v>89</v>
      </c>
      <c r="H68" s="4" t="s">
        <v>90</v>
      </c>
      <c r="I68" s="4"/>
      <c r="J68" s="4"/>
      <c r="K68" s="4">
        <v>202</v>
      </c>
      <c r="L68" s="4">
        <v>2</v>
      </c>
      <c r="M68" s="4">
        <v>3</v>
      </c>
      <c r="N68" s="4" t="s">
        <v>3</v>
      </c>
      <c r="O68" s="4">
        <v>0</v>
      </c>
      <c r="P68" s="4"/>
      <c r="Q68" s="4"/>
      <c r="R68" s="4"/>
      <c r="S68" s="4"/>
      <c r="T68" s="4"/>
      <c r="U68" s="4"/>
      <c r="V68" s="4"/>
      <c r="W68" s="4">
        <v>41</v>
      </c>
      <c r="X68" s="4">
        <v>1</v>
      </c>
      <c r="Y68" s="4">
        <v>418</v>
      </c>
      <c r="Z68" s="4"/>
      <c r="AA68" s="4"/>
      <c r="AB68" s="4"/>
    </row>
    <row r="69" spans="1:206" x14ac:dyDescent="0.2">
      <c r="A69" s="4">
        <v>50</v>
      </c>
      <c r="B69" s="4">
        <v>0</v>
      </c>
      <c r="C69" s="4">
        <v>0</v>
      </c>
      <c r="D69" s="4">
        <v>1</v>
      </c>
      <c r="E69" s="4">
        <v>222</v>
      </c>
      <c r="F69" s="4">
        <f>ROUND(Source!AO65,O69)</f>
        <v>0</v>
      </c>
      <c r="G69" s="4" t="s">
        <v>91</v>
      </c>
      <c r="H69" s="4" t="s">
        <v>92</v>
      </c>
      <c r="I69" s="4"/>
      <c r="J69" s="4"/>
      <c r="K69" s="4">
        <v>222</v>
      </c>
      <c r="L69" s="4">
        <v>3</v>
      </c>
      <c r="M69" s="4">
        <v>3</v>
      </c>
      <c r="N69" s="4" t="s">
        <v>3</v>
      </c>
      <c r="O69" s="4">
        <v>0</v>
      </c>
      <c r="P69" s="4"/>
      <c r="Q69" s="4"/>
      <c r="R69" s="4"/>
      <c r="S69" s="4"/>
      <c r="T69" s="4"/>
      <c r="U69" s="4"/>
      <c r="V69" s="4"/>
      <c r="W69" s="4">
        <v>0</v>
      </c>
      <c r="X69" s="4">
        <v>1</v>
      </c>
      <c r="Y69" s="4">
        <v>0</v>
      </c>
      <c r="Z69" s="4"/>
      <c r="AA69" s="4"/>
      <c r="AB69" s="4"/>
    </row>
    <row r="70" spans="1:206" x14ac:dyDescent="0.2">
      <c r="A70" s="4">
        <v>50</v>
      </c>
      <c r="B70" s="4">
        <v>0</v>
      </c>
      <c r="C70" s="4">
        <v>0</v>
      </c>
      <c r="D70" s="4">
        <v>1</v>
      </c>
      <c r="E70" s="4">
        <v>225</v>
      </c>
      <c r="F70" s="4">
        <f>ROUND(Source!AV65,O70)</f>
        <v>9</v>
      </c>
      <c r="G70" s="4" t="s">
        <v>93</v>
      </c>
      <c r="H70" s="4" t="s">
        <v>94</v>
      </c>
      <c r="I70" s="4"/>
      <c r="J70" s="4"/>
      <c r="K70" s="4">
        <v>225</v>
      </c>
      <c r="L70" s="4">
        <v>4</v>
      </c>
      <c r="M70" s="4">
        <v>3</v>
      </c>
      <c r="N70" s="4" t="s">
        <v>3</v>
      </c>
      <c r="O70" s="4">
        <v>0</v>
      </c>
      <c r="P70" s="4"/>
      <c r="Q70" s="4"/>
      <c r="R70" s="4"/>
      <c r="S70" s="4"/>
      <c r="T70" s="4"/>
      <c r="U70" s="4"/>
      <c r="V70" s="4"/>
      <c r="W70" s="4">
        <v>41</v>
      </c>
      <c r="X70" s="4">
        <v>1</v>
      </c>
      <c r="Y70" s="4">
        <v>0</v>
      </c>
      <c r="Z70" s="4"/>
      <c r="AA70" s="4"/>
      <c r="AB70" s="4"/>
    </row>
    <row r="71" spans="1:206" x14ac:dyDescent="0.2">
      <c r="A71" s="4">
        <v>50</v>
      </c>
      <c r="B71" s="4">
        <v>0</v>
      </c>
      <c r="C71" s="4">
        <v>0</v>
      </c>
      <c r="D71" s="4">
        <v>1</v>
      </c>
      <c r="E71" s="4">
        <v>226</v>
      </c>
      <c r="F71" s="4">
        <f>ROUND(Source!AW65,O71)</f>
        <v>9</v>
      </c>
      <c r="G71" s="4" t="s">
        <v>95</v>
      </c>
      <c r="H71" s="4" t="s">
        <v>96</v>
      </c>
      <c r="I71" s="4"/>
      <c r="J71" s="4"/>
      <c r="K71" s="4">
        <v>226</v>
      </c>
      <c r="L71" s="4">
        <v>5</v>
      </c>
      <c r="M71" s="4">
        <v>3</v>
      </c>
      <c r="N71" s="4" t="s">
        <v>3</v>
      </c>
      <c r="O71" s="4">
        <v>0</v>
      </c>
      <c r="P71" s="4"/>
      <c r="Q71" s="4"/>
      <c r="R71" s="4"/>
      <c r="S71" s="4"/>
      <c r="T71" s="4"/>
      <c r="U71" s="4"/>
      <c r="V71" s="4"/>
      <c r="W71" s="4">
        <v>41</v>
      </c>
      <c r="X71" s="4">
        <v>1</v>
      </c>
      <c r="Y71" s="4">
        <v>418</v>
      </c>
      <c r="Z71" s="4"/>
      <c r="AA71" s="4"/>
      <c r="AB71" s="4"/>
    </row>
    <row r="72" spans="1:206" x14ac:dyDescent="0.2">
      <c r="A72" s="4">
        <v>50</v>
      </c>
      <c r="B72" s="4">
        <v>0</v>
      </c>
      <c r="C72" s="4">
        <v>0</v>
      </c>
      <c r="D72" s="4">
        <v>1</v>
      </c>
      <c r="E72" s="4">
        <v>227</v>
      </c>
      <c r="F72" s="4">
        <f>ROUND(Source!AX65,O72)</f>
        <v>0</v>
      </c>
      <c r="G72" s="4" t="s">
        <v>97</v>
      </c>
      <c r="H72" s="4" t="s">
        <v>98</v>
      </c>
      <c r="I72" s="4"/>
      <c r="J72" s="4"/>
      <c r="K72" s="4">
        <v>227</v>
      </c>
      <c r="L72" s="4">
        <v>6</v>
      </c>
      <c r="M72" s="4">
        <v>3</v>
      </c>
      <c r="N72" s="4" t="s">
        <v>3</v>
      </c>
      <c r="O72" s="4">
        <v>0</v>
      </c>
      <c r="P72" s="4"/>
      <c r="Q72" s="4"/>
      <c r="R72" s="4"/>
      <c r="S72" s="4"/>
      <c r="T72" s="4"/>
      <c r="U72" s="4"/>
      <c r="V72" s="4"/>
      <c r="W72" s="4">
        <v>0</v>
      </c>
      <c r="X72" s="4">
        <v>1</v>
      </c>
      <c r="Y72" s="4">
        <v>0</v>
      </c>
      <c r="Z72" s="4"/>
      <c r="AA72" s="4"/>
      <c r="AB72" s="4"/>
    </row>
    <row r="73" spans="1:206" x14ac:dyDescent="0.2">
      <c r="A73" s="4">
        <v>50</v>
      </c>
      <c r="B73" s="4">
        <v>0</v>
      </c>
      <c r="C73" s="4">
        <v>0</v>
      </c>
      <c r="D73" s="4">
        <v>1</v>
      </c>
      <c r="E73" s="4">
        <v>228</v>
      </c>
      <c r="F73" s="4">
        <f>ROUND(Source!AY65,O73)</f>
        <v>9</v>
      </c>
      <c r="G73" s="4" t="s">
        <v>99</v>
      </c>
      <c r="H73" s="4" t="s">
        <v>100</v>
      </c>
      <c r="I73" s="4"/>
      <c r="J73" s="4"/>
      <c r="K73" s="4">
        <v>228</v>
      </c>
      <c r="L73" s="4">
        <v>7</v>
      </c>
      <c r="M73" s="4">
        <v>3</v>
      </c>
      <c r="N73" s="4" t="s">
        <v>3</v>
      </c>
      <c r="O73" s="4">
        <v>0</v>
      </c>
      <c r="P73" s="4"/>
      <c r="Q73" s="4"/>
      <c r="R73" s="4"/>
      <c r="S73" s="4"/>
      <c r="T73" s="4"/>
      <c r="U73" s="4"/>
      <c r="V73" s="4"/>
      <c r="W73" s="4">
        <v>41</v>
      </c>
      <c r="X73" s="4">
        <v>1</v>
      </c>
      <c r="Y73" s="4">
        <v>418</v>
      </c>
      <c r="Z73" s="4"/>
      <c r="AA73" s="4"/>
      <c r="AB73" s="4"/>
    </row>
    <row r="74" spans="1:206" x14ac:dyDescent="0.2">
      <c r="A74" s="4">
        <v>50</v>
      </c>
      <c r="B74" s="4">
        <v>0</v>
      </c>
      <c r="C74" s="4">
        <v>0</v>
      </c>
      <c r="D74" s="4">
        <v>1</v>
      </c>
      <c r="E74" s="4">
        <v>216</v>
      </c>
      <c r="F74" s="4">
        <f>ROUND(Source!AP65,O74)</f>
        <v>0</v>
      </c>
      <c r="G74" s="4" t="s">
        <v>101</v>
      </c>
      <c r="H74" s="4" t="s">
        <v>102</v>
      </c>
      <c r="I74" s="4"/>
      <c r="J74" s="4"/>
      <c r="K74" s="4">
        <v>216</v>
      </c>
      <c r="L74" s="4">
        <v>8</v>
      </c>
      <c r="M74" s="4">
        <v>3</v>
      </c>
      <c r="N74" s="4" t="s">
        <v>3</v>
      </c>
      <c r="O74" s="4">
        <v>0</v>
      </c>
      <c r="P74" s="4"/>
      <c r="Q74" s="4"/>
      <c r="R74" s="4"/>
      <c r="S74" s="4"/>
      <c r="T74" s="4"/>
      <c r="U74" s="4"/>
      <c r="V74" s="4"/>
      <c r="W74" s="4">
        <v>0</v>
      </c>
      <c r="X74" s="4">
        <v>1</v>
      </c>
      <c r="Y74" s="4">
        <v>0</v>
      </c>
      <c r="Z74" s="4"/>
      <c r="AA74" s="4"/>
      <c r="AB74" s="4"/>
    </row>
    <row r="75" spans="1:206" x14ac:dyDescent="0.2">
      <c r="A75" s="4">
        <v>50</v>
      </c>
      <c r="B75" s="4">
        <v>0</v>
      </c>
      <c r="C75" s="4">
        <v>0</v>
      </c>
      <c r="D75" s="4">
        <v>1</v>
      </c>
      <c r="E75" s="4">
        <v>223</v>
      </c>
      <c r="F75" s="4">
        <f>ROUND(Source!AQ65,O75)</f>
        <v>0</v>
      </c>
      <c r="G75" s="4" t="s">
        <v>103</v>
      </c>
      <c r="H75" s="4" t="s">
        <v>104</v>
      </c>
      <c r="I75" s="4"/>
      <c r="J75" s="4"/>
      <c r="K75" s="4">
        <v>223</v>
      </c>
      <c r="L75" s="4">
        <v>9</v>
      </c>
      <c r="M75" s="4">
        <v>3</v>
      </c>
      <c r="N75" s="4" t="s">
        <v>3</v>
      </c>
      <c r="O75" s="4">
        <v>0</v>
      </c>
      <c r="P75" s="4"/>
      <c r="Q75" s="4"/>
      <c r="R75" s="4"/>
      <c r="S75" s="4"/>
      <c r="T75" s="4"/>
      <c r="U75" s="4"/>
      <c r="V75" s="4"/>
      <c r="W75" s="4">
        <v>0</v>
      </c>
      <c r="X75" s="4">
        <v>1</v>
      </c>
      <c r="Y75" s="4">
        <v>0</v>
      </c>
      <c r="Z75" s="4"/>
      <c r="AA75" s="4"/>
      <c r="AB75" s="4"/>
    </row>
    <row r="76" spans="1:206" x14ac:dyDescent="0.2">
      <c r="A76" s="4">
        <v>50</v>
      </c>
      <c r="B76" s="4">
        <v>0</v>
      </c>
      <c r="C76" s="4">
        <v>0</v>
      </c>
      <c r="D76" s="4">
        <v>1</v>
      </c>
      <c r="E76" s="4">
        <v>229</v>
      </c>
      <c r="F76" s="4">
        <f>ROUND(Source!AZ65,O76)</f>
        <v>0</v>
      </c>
      <c r="G76" s="4" t="s">
        <v>105</v>
      </c>
      <c r="H76" s="4" t="s">
        <v>106</v>
      </c>
      <c r="I76" s="4"/>
      <c r="J76" s="4"/>
      <c r="K76" s="4">
        <v>229</v>
      </c>
      <c r="L76" s="4">
        <v>10</v>
      </c>
      <c r="M76" s="4">
        <v>3</v>
      </c>
      <c r="N76" s="4" t="s">
        <v>3</v>
      </c>
      <c r="O76" s="4">
        <v>0</v>
      </c>
      <c r="P76" s="4"/>
      <c r="Q76" s="4"/>
      <c r="R76" s="4"/>
      <c r="S76" s="4"/>
      <c r="T76" s="4"/>
      <c r="U76" s="4"/>
      <c r="V76" s="4"/>
      <c r="W76" s="4">
        <v>0</v>
      </c>
      <c r="X76" s="4">
        <v>1</v>
      </c>
      <c r="Y76" s="4">
        <v>0</v>
      </c>
      <c r="Z76" s="4"/>
      <c r="AA76" s="4"/>
      <c r="AB76" s="4"/>
    </row>
    <row r="77" spans="1:206" x14ac:dyDescent="0.2">
      <c r="A77" s="4">
        <v>50</v>
      </c>
      <c r="B77" s="4">
        <v>0</v>
      </c>
      <c r="C77" s="4">
        <v>0</v>
      </c>
      <c r="D77" s="4">
        <v>1</v>
      </c>
      <c r="E77" s="4">
        <v>203</v>
      </c>
      <c r="F77" s="4">
        <f>ROUND(Source!Q65,O77)</f>
        <v>4689</v>
      </c>
      <c r="G77" s="4" t="s">
        <v>107</v>
      </c>
      <c r="H77" s="4" t="s">
        <v>108</v>
      </c>
      <c r="I77" s="4"/>
      <c r="J77" s="4"/>
      <c r="K77" s="4">
        <v>203</v>
      </c>
      <c r="L77" s="4">
        <v>11</v>
      </c>
      <c r="M77" s="4">
        <v>3</v>
      </c>
      <c r="N77" s="4" t="s">
        <v>3</v>
      </c>
      <c r="O77" s="4">
        <v>0</v>
      </c>
      <c r="P77" s="4"/>
      <c r="Q77" s="4"/>
      <c r="R77" s="4"/>
      <c r="S77" s="4"/>
      <c r="T77" s="4"/>
      <c r="U77" s="4"/>
      <c r="V77" s="4"/>
      <c r="W77" s="4">
        <v>4761</v>
      </c>
      <c r="X77" s="4">
        <v>1</v>
      </c>
      <c r="Y77" s="4">
        <v>67987</v>
      </c>
      <c r="Z77" s="4"/>
      <c r="AA77" s="4"/>
      <c r="AB77" s="4"/>
    </row>
    <row r="78" spans="1:206" x14ac:dyDescent="0.2">
      <c r="A78" s="4">
        <v>50</v>
      </c>
      <c r="B78" s="4">
        <v>0</v>
      </c>
      <c r="C78" s="4">
        <v>0</v>
      </c>
      <c r="D78" s="4">
        <v>1</v>
      </c>
      <c r="E78" s="4">
        <v>231</v>
      </c>
      <c r="F78" s="4">
        <f>ROUND(Source!BB65,O78)</f>
        <v>0</v>
      </c>
      <c r="G78" s="4" t="s">
        <v>109</v>
      </c>
      <c r="H78" s="4" t="s">
        <v>110</v>
      </c>
      <c r="I78" s="4"/>
      <c r="J78" s="4"/>
      <c r="K78" s="4">
        <v>231</v>
      </c>
      <c r="L78" s="4">
        <v>12</v>
      </c>
      <c r="M78" s="4">
        <v>3</v>
      </c>
      <c r="N78" s="4" t="s">
        <v>3</v>
      </c>
      <c r="O78" s="4">
        <v>0</v>
      </c>
      <c r="P78" s="4"/>
      <c r="Q78" s="4"/>
      <c r="R78" s="4"/>
      <c r="S78" s="4"/>
      <c r="T78" s="4"/>
      <c r="U78" s="4"/>
      <c r="V78" s="4"/>
      <c r="W78" s="4">
        <v>0</v>
      </c>
      <c r="X78" s="4">
        <v>1</v>
      </c>
      <c r="Y78" s="4">
        <v>0</v>
      </c>
      <c r="Z78" s="4"/>
      <c r="AA78" s="4"/>
      <c r="AB78" s="4"/>
    </row>
    <row r="79" spans="1:206" x14ac:dyDescent="0.2">
      <c r="A79" s="4">
        <v>50</v>
      </c>
      <c r="B79" s="4">
        <v>0</v>
      </c>
      <c r="C79" s="4">
        <v>0</v>
      </c>
      <c r="D79" s="4">
        <v>1</v>
      </c>
      <c r="E79" s="4">
        <v>204</v>
      </c>
      <c r="F79" s="4">
        <f>ROUND(Source!R65,O79)</f>
        <v>530</v>
      </c>
      <c r="G79" s="4" t="s">
        <v>111</v>
      </c>
      <c r="H79" s="4" t="s">
        <v>112</v>
      </c>
      <c r="I79" s="4"/>
      <c r="J79" s="4"/>
      <c r="K79" s="4">
        <v>204</v>
      </c>
      <c r="L79" s="4">
        <v>13</v>
      </c>
      <c r="M79" s="4">
        <v>3</v>
      </c>
      <c r="N79" s="4" t="s">
        <v>3</v>
      </c>
      <c r="O79" s="4">
        <v>0</v>
      </c>
      <c r="P79" s="4"/>
      <c r="Q79" s="4"/>
      <c r="R79" s="4"/>
      <c r="S79" s="4"/>
      <c r="T79" s="4"/>
      <c r="U79" s="4"/>
      <c r="V79" s="4"/>
      <c r="W79" s="4">
        <v>538</v>
      </c>
      <c r="X79" s="4">
        <v>1</v>
      </c>
      <c r="Y79" s="4">
        <v>20067</v>
      </c>
      <c r="Z79" s="4"/>
      <c r="AA79" s="4"/>
      <c r="AB79" s="4"/>
    </row>
    <row r="80" spans="1:206" x14ac:dyDescent="0.2">
      <c r="A80" s="4">
        <v>50</v>
      </c>
      <c r="B80" s="4">
        <v>0</v>
      </c>
      <c r="C80" s="4">
        <v>0</v>
      </c>
      <c r="D80" s="4">
        <v>1</v>
      </c>
      <c r="E80" s="4">
        <v>205</v>
      </c>
      <c r="F80" s="4">
        <f>ROUND(Source!S65,O80)</f>
        <v>1081</v>
      </c>
      <c r="G80" s="4" t="s">
        <v>113</v>
      </c>
      <c r="H80" s="4" t="s">
        <v>114</v>
      </c>
      <c r="I80" s="4"/>
      <c r="J80" s="4"/>
      <c r="K80" s="4">
        <v>205</v>
      </c>
      <c r="L80" s="4">
        <v>14</v>
      </c>
      <c r="M80" s="4">
        <v>3</v>
      </c>
      <c r="N80" s="4" t="s">
        <v>3</v>
      </c>
      <c r="O80" s="4">
        <v>0</v>
      </c>
      <c r="P80" s="4"/>
      <c r="Q80" s="4"/>
      <c r="R80" s="4"/>
      <c r="S80" s="4"/>
      <c r="T80" s="4"/>
      <c r="U80" s="4"/>
      <c r="V80" s="4"/>
      <c r="W80" s="4">
        <v>1162</v>
      </c>
      <c r="X80" s="4">
        <v>1</v>
      </c>
      <c r="Y80" s="4">
        <v>43342</v>
      </c>
      <c r="Z80" s="4"/>
      <c r="AA80" s="4"/>
      <c r="AB80" s="4"/>
    </row>
    <row r="81" spans="1:28" x14ac:dyDescent="0.2">
      <c r="A81" s="4">
        <v>50</v>
      </c>
      <c r="B81" s="4">
        <v>0</v>
      </c>
      <c r="C81" s="4">
        <v>0</v>
      </c>
      <c r="D81" s="4">
        <v>1</v>
      </c>
      <c r="E81" s="4">
        <v>232</v>
      </c>
      <c r="F81" s="4">
        <f>ROUND(Source!BC65,O81)</f>
        <v>0</v>
      </c>
      <c r="G81" s="4" t="s">
        <v>115</v>
      </c>
      <c r="H81" s="4" t="s">
        <v>116</v>
      </c>
      <c r="I81" s="4"/>
      <c r="J81" s="4"/>
      <c r="K81" s="4">
        <v>232</v>
      </c>
      <c r="L81" s="4">
        <v>15</v>
      </c>
      <c r="M81" s="4">
        <v>3</v>
      </c>
      <c r="N81" s="4" t="s">
        <v>3</v>
      </c>
      <c r="O81" s="4">
        <v>0</v>
      </c>
      <c r="P81" s="4"/>
      <c r="Q81" s="4"/>
      <c r="R81" s="4"/>
      <c r="S81" s="4"/>
      <c r="T81" s="4"/>
      <c r="U81" s="4"/>
      <c r="V81" s="4"/>
      <c r="W81" s="4">
        <v>0</v>
      </c>
      <c r="X81" s="4">
        <v>1</v>
      </c>
      <c r="Y81" s="4">
        <v>0</v>
      </c>
      <c r="Z81" s="4"/>
      <c r="AA81" s="4"/>
      <c r="AB81" s="4"/>
    </row>
    <row r="82" spans="1:28" x14ac:dyDescent="0.2">
      <c r="A82" s="4">
        <v>50</v>
      </c>
      <c r="B82" s="4">
        <v>0</v>
      </c>
      <c r="C82" s="4">
        <v>0</v>
      </c>
      <c r="D82" s="4">
        <v>1</v>
      </c>
      <c r="E82" s="4">
        <v>214</v>
      </c>
      <c r="F82" s="4">
        <f>ROUND(Source!AS65,O82)</f>
        <v>8414</v>
      </c>
      <c r="G82" s="4" t="s">
        <v>117</v>
      </c>
      <c r="H82" s="4" t="s">
        <v>118</v>
      </c>
      <c r="I82" s="4"/>
      <c r="J82" s="4"/>
      <c r="K82" s="4">
        <v>214</v>
      </c>
      <c r="L82" s="4">
        <v>16</v>
      </c>
      <c r="M82" s="4">
        <v>3</v>
      </c>
      <c r="N82" s="4" t="s">
        <v>3</v>
      </c>
      <c r="O82" s="4">
        <v>0</v>
      </c>
      <c r="P82" s="4"/>
      <c r="Q82" s="4"/>
      <c r="R82" s="4"/>
      <c r="S82" s="4"/>
      <c r="T82" s="4"/>
      <c r="U82" s="4"/>
      <c r="V82" s="4"/>
      <c r="W82" s="4">
        <v>8756</v>
      </c>
      <c r="X82" s="4">
        <v>1</v>
      </c>
      <c r="Y82" s="4">
        <v>212735</v>
      </c>
      <c r="Z82" s="4"/>
      <c r="AA82" s="4"/>
      <c r="AB82" s="4"/>
    </row>
    <row r="83" spans="1:28" x14ac:dyDescent="0.2">
      <c r="A83" s="4">
        <v>50</v>
      </c>
      <c r="B83" s="4">
        <v>0</v>
      </c>
      <c r="C83" s="4">
        <v>0</v>
      </c>
      <c r="D83" s="4">
        <v>1</v>
      </c>
      <c r="E83" s="4">
        <v>215</v>
      </c>
      <c r="F83" s="4">
        <f>ROUND(Source!AT65,O83)</f>
        <v>0</v>
      </c>
      <c r="G83" s="4" t="s">
        <v>119</v>
      </c>
      <c r="H83" s="4" t="s">
        <v>120</v>
      </c>
      <c r="I83" s="4"/>
      <c r="J83" s="4"/>
      <c r="K83" s="4">
        <v>215</v>
      </c>
      <c r="L83" s="4">
        <v>17</v>
      </c>
      <c r="M83" s="4">
        <v>3</v>
      </c>
      <c r="N83" s="4" t="s">
        <v>3</v>
      </c>
      <c r="O83" s="4">
        <v>0</v>
      </c>
      <c r="P83" s="4"/>
      <c r="Q83" s="4"/>
      <c r="R83" s="4"/>
      <c r="S83" s="4"/>
      <c r="T83" s="4"/>
      <c r="U83" s="4"/>
      <c r="V83" s="4"/>
      <c r="W83" s="4">
        <v>0</v>
      </c>
      <c r="X83" s="4">
        <v>1</v>
      </c>
      <c r="Y83" s="4">
        <v>0</v>
      </c>
      <c r="Z83" s="4"/>
      <c r="AA83" s="4"/>
      <c r="AB83" s="4"/>
    </row>
    <row r="84" spans="1:28" x14ac:dyDescent="0.2">
      <c r="A84" s="4">
        <v>50</v>
      </c>
      <c r="B84" s="4">
        <v>0</v>
      </c>
      <c r="C84" s="4">
        <v>0</v>
      </c>
      <c r="D84" s="4">
        <v>1</v>
      </c>
      <c r="E84" s="4">
        <v>217</v>
      </c>
      <c r="F84" s="4">
        <f>ROUND(Source!AU65,O84)</f>
        <v>0</v>
      </c>
      <c r="G84" s="4" t="s">
        <v>121</v>
      </c>
      <c r="H84" s="4" t="s">
        <v>122</v>
      </c>
      <c r="I84" s="4"/>
      <c r="J84" s="4"/>
      <c r="K84" s="4">
        <v>217</v>
      </c>
      <c r="L84" s="4">
        <v>18</v>
      </c>
      <c r="M84" s="4">
        <v>3</v>
      </c>
      <c r="N84" s="4" t="s">
        <v>3</v>
      </c>
      <c r="O84" s="4">
        <v>0</v>
      </c>
      <c r="P84" s="4"/>
      <c r="Q84" s="4"/>
      <c r="R84" s="4"/>
      <c r="S84" s="4"/>
      <c r="T84" s="4"/>
      <c r="U84" s="4"/>
      <c r="V84" s="4"/>
      <c r="W84" s="4">
        <v>0</v>
      </c>
      <c r="X84" s="4">
        <v>1</v>
      </c>
      <c r="Y84" s="4">
        <v>0</v>
      </c>
      <c r="Z84" s="4"/>
      <c r="AA84" s="4"/>
      <c r="AB84" s="4"/>
    </row>
    <row r="85" spans="1:28" x14ac:dyDescent="0.2">
      <c r="A85" s="4">
        <v>50</v>
      </c>
      <c r="B85" s="4">
        <v>0</v>
      </c>
      <c r="C85" s="4">
        <v>0</v>
      </c>
      <c r="D85" s="4">
        <v>1</v>
      </c>
      <c r="E85" s="4">
        <v>230</v>
      </c>
      <c r="F85" s="4">
        <f>ROUND(Source!BA65,O85)</f>
        <v>0</v>
      </c>
      <c r="G85" s="4" t="s">
        <v>123</v>
      </c>
      <c r="H85" s="4" t="s">
        <v>124</v>
      </c>
      <c r="I85" s="4"/>
      <c r="J85" s="4"/>
      <c r="K85" s="4">
        <v>230</v>
      </c>
      <c r="L85" s="4">
        <v>19</v>
      </c>
      <c r="M85" s="4">
        <v>3</v>
      </c>
      <c r="N85" s="4" t="s">
        <v>3</v>
      </c>
      <c r="O85" s="4">
        <v>0</v>
      </c>
      <c r="P85" s="4"/>
      <c r="Q85" s="4"/>
      <c r="R85" s="4"/>
      <c r="S85" s="4"/>
      <c r="T85" s="4"/>
      <c r="U85" s="4"/>
      <c r="V85" s="4"/>
      <c r="W85" s="4">
        <v>0</v>
      </c>
      <c r="X85" s="4">
        <v>1</v>
      </c>
      <c r="Y85" s="4">
        <v>0</v>
      </c>
      <c r="Z85" s="4"/>
      <c r="AA85" s="4"/>
      <c r="AB85" s="4"/>
    </row>
    <row r="86" spans="1:28" x14ac:dyDescent="0.2">
      <c r="A86" s="4">
        <v>50</v>
      </c>
      <c r="B86" s="4">
        <v>0</v>
      </c>
      <c r="C86" s="4">
        <v>0</v>
      </c>
      <c r="D86" s="4">
        <v>1</v>
      </c>
      <c r="E86" s="4">
        <v>206</v>
      </c>
      <c r="F86" s="4">
        <f>ROUND(Source!T65,O86)</f>
        <v>0</v>
      </c>
      <c r="G86" s="4" t="s">
        <v>125</v>
      </c>
      <c r="H86" s="4" t="s">
        <v>126</v>
      </c>
      <c r="I86" s="4"/>
      <c r="J86" s="4"/>
      <c r="K86" s="4">
        <v>206</v>
      </c>
      <c r="L86" s="4">
        <v>20</v>
      </c>
      <c r="M86" s="4">
        <v>3</v>
      </c>
      <c r="N86" s="4" t="s">
        <v>3</v>
      </c>
      <c r="O86" s="4">
        <v>0</v>
      </c>
      <c r="P86" s="4"/>
      <c r="Q86" s="4"/>
      <c r="R86" s="4"/>
      <c r="S86" s="4"/>
      <c r="T86" s="4"/>
      <c r="U86" s="4"/>
      <c r="V86" s="4"/>
      <c r="W86" s="4">
        <v>0</v>
      </c>
      <c r="X86" s="4">
        <v>1</v>
      </c>
      <c r="Y86" s="4">
        <v>0</v>
      </c>
      <c r="Z86" s="4"/>
      <c r="AA86" s="4"/>
      <c r="AB86" s="4"/>
    </row>
    <row r="87" spans="1:28" x14ac:dyDescent="0.2">
      <c r="A87" s="4">
        <v>50</v>
      </c>
      <c r="B87" s="4">
        <v>0</v>
      </c>
      <c r="C87" s="4">
        <v>0</v>
      </c>
      <c r="D87" s="4">
        <v>1</v>
      </c>
      <c r="E87" s="4">
        <v>207</v>
      </c>
      <c r="F87" s="4">
        <f>ROUND(Source!U65,O87)</f>
        <v>104.76445</v>
      </c>
      <c r="G87" s="4" t="s">
        <v>127</v>
      </c>
      <c r="H87" s="4" t="s">
        <v>128</v>
      </c>
      <c r="I87" s="4"/>
      <c r="J87" s="4"/>
      <c r="K87" s="4">
        <v>207</v>
      </c>
      <c r="L87" s="4">
        <v>21</v>
      </c>
      <c r="M87" s="4">
        <v>3</v>
      </c>
      <c r="N87" s="4" t="s">
        <v>3</v>
      </c>
      <c r="O87" s="4">
        <v>7</v>
      </c>
      <c r="P87" s="4"/>
      <c r="Q87" s="4"/>
      <c r="R87" s="4"/>
      <c r="S87" s="4"/>
      <c r="T87" s="4"/>
      <c r="U87" s="4"/>
      <c r="V87" s="4"/>
      <c r="W87" s="4">
        <v>113.77800000000001</v>
      </c>
      <c r="X87" s="4">
        <v>1</v>
      </c>
      <c r="Y87" s="4">
        <v>113.77800000000001</v>
      </c>
      <c r="Z87" s="4"/>
      <c r="AA87" s="4"/>
      <c r="AB87" s="4"/>
    </row>
    <row r="88" spans="1:28" x14ac:dyDescent="0.2">
      <c r="A88" s="4">
        <v>50</v>
      </c>
      <c r="B88" s="4">
        <v>0</v>
      </c>
      <c r="C88" s="4">
        <v>0</v>
      </c>
      <c r="D88" s="4">
        <v>1</v>
      </c>
      <c r="E88" s="4">
        <v>208</v>
      </c>
      <c r="F88" s="4">
        <f>ROUND(Source!V65,O88)</f>
        <v>39.34487</v>
      </c>
      <c r="G88" s="4" t="s">
        <v>129</v>
      </c>
      <c r="H88" s="4" t="s">
        <v>130</v>
      </c>
      <c r="I88" s="4"/>
      <c r="J88" s="4"/>
      <c r="K88" s="4">
        <v>208</v>
      </c>
      <c r="L88" s="4">
        <v>22</v>
      </c>
      <c r="M88" s="4">
        <v>3</v>
      </c>
      <c r="N88" s="4" t="s">
        <v>3</v>
      </c>
      <c r="O88" s="4">
        <v>7</v>
      </c>
      <c r="P88" s="4"/>
      <c r="Q88" s="4"/>
      <c r="R88" s="4"/>
      <c r="S88" s="4"/>
      <c r="T88" s="4"/>
      <c r="U88" s="4"/>
      <c r="V88" s="4"/>
      <c r="W88" s="4">
        <v>39.951599999999999</v>
      </c>
      <c r="X88" s="4">
        <v>1</v>
      </c>
      <c r="Y88" s="4">
        <v>39.951599999999999</v>
      </c>
      <c r="Z88" s="4"/>
      <c r="AA88" s="4"/>
      <c r="AB88" s="4"/>
    </row>
    <row r="89" spans="1:28" x14ac:dyDescent="0.2">
      <c r="A89" s="4">
        <v>50</v>
      </c>
      <c r="B89" s="4">
        <v>0</v>
      </c>
      <c r="C89" s="4">
        <v>0</v>
      </c>
      <c r="D89" s="4">
        <v>1</v>
      </c>
      <c r="E89" s="4">
        <v>209</v>
      </c>
      <c r="F89" s="4">
        <f>ROUND(Source!W65,O89)</f>
        <v>0</v>
      </c>
      <c r="G89" s="4" t="s">
        <v>131</v>
      </c>
      <c r="H89" s="4" t="s">
        <v>132</v>
      </c>
      <c r="I89" s="4"/>
      <c r="J89" s="4"/>
      <c r="K89" s="4">
        <v>209</v>
      </c>
      <c r="L89" s="4">
        <v>23</v>
      </c>
      <c r="M89" s="4">
        <v>3</v>
      </c>
      <c r="N89" s="4" t="s">
        <v>3</v>
      </c>
      <c r="O89" s="4">
        <v>0</v>
      </c>
      <c r="P89" s="4"/>
      <c r="Q89" s="4"/>
      <c r="R89" s="4"/>
      <c r="S89" s="4"/>
      <c r="T89" s="4"/>
      <c r="U89" s="4"/>
      <c r="V89" s="4"/>
      <c r="W89" s="4">
        <v>0</v>
      </c>
      <c r="X89" s="4">
        <v>1</v>
      </c>
      <c r="Y89" s="4">
        <v>0</v>
      </c>
      <c r="Z89" s="4"/>
      <c r="AA89" s="4"/>
      <c r="AB89" s="4"/>
    </row>
    <row r="90" spans="1:28" x14ac:dyDescent="0.2">
      <c r="A90" s="4">
        <v>50</v>
      </c>
      <c r="B90" s="4">
        <v>0</v>
      </c>
      <c r="C90" s="4">
        <v>0</v>
      </c>
      <c r="D90" s="4">
        <v>1</v>
      </c>
      <c r="E90" s="4">
        <v>233</v>
      </c>
      <c r="F90" s="4">
        <f>ROUND(Source!BD65,O90)</f>
        <v>135</v>
      </c>
      <c r="G90" s="4" t="s">
        <v>133</v>
      </c>
      <c r="H90" s="4" t="s">
        <v>134</v>
      </c>
      <c r="I90" s="4"/>
      <c r="J90" s="4"/>
      <c r="K90" s="4">
        <v>233</v>
      </c>
      <c r="L90" s="4">
        <v>24</v>
      </c>
      <c r="M90" s="4">
        <v>3</v>
      </c>
      <c r="N90" s="4" t="s">
        <v>3</v>
      </c>
      <c r="O90" s="4">
        <v>0</v>
      </c>
      <c r="P90" s="4"/>
      <c r="Q90" s="4"/>
      <c r="R90" s="4"/>
      <c r="S90" s="4"/>
      <c r="T90" s="4"/>
      <c r="U90" s="4"/>
      <c r="V90" s="4"/>
      <c r="W90" s="4">
        <v>137</v>
      </c>
      <c r="X90" s="4">
        <v>1</v>
      </c>
      <c r="Y90" s="4">
        <v>1970</v>
      </c>
      <c r="Z90" s="4"/>
      <c r="AA90" s="4"/>
      <c r="AB90" s="4"/>
    </row>
    <row r="91" spans="1:28" x14ac:dyDescent="0.2">
      <c r="A91" s="4">
        <v>50</v>
      </c>
      <c r="B91" s="4">
        <v>0</v>
      </c>
      <c r="C91" s="4">
        <v>0</v>
      </c>
      <c r="D91" s="4">
        <v>1</v>
      </c>
      <c r="E91" s="4">
        <v>210</v>
      </c>
      <c r="F91" s="4">
        <f>ROUND(Source!X65,O91)</f>
        <v>1500</v>
      </c>
      <c r="G91" s="4" t="s">
        <v>135</v>
      </c>
      <c r="H91" s="4" t="s">
        <v>136</v>
      </c>
      <c r="I91" s="4"/>
      <c r="J91" s="4"/>
      <c r="K91" s="4">
        <v>210</v>
      </c>
      <c r="L91" s="4">
        <v>25</v>
      </c>
      <c r="M91" s="4">
        <v>3</v>
      </c>
      <c r="N91" s="4" t="s">
        <v>3</v>
      </c>
      <c r="O91" s="4">
        <v>0</v>
      </c>
      <c r="P91" s="4"/>
      <c r="Q91" s="4"/>
      <c r="R91" s="4"/>
      <c r="S91" s="4"/>
      <c r="T91" s="4"/>
      <c r="U91" s="4"/>
      <c r="V91" s="4"/>
      <c r="W91" s="4">
        <v>1595</v>
      </c>
      <c r="X91" s="4">
        <v>1</v>
      </c>
      <c r="Y91" s="4">
        <v>59490</v>
      </c>
      <c r="Z91" s="4"/>
      <c r="AA91" s="4"/>
      <c r="AB91" s="4"/>
    </row>
    <row r="92" spans="1:28" x14ac:dyDescent="0.2">
      <c r="A92" s="4">
        <v>50</v>
      </c>
      <c r="B92" s="4">
        <v>0</v>
      </c>
      <c r="C92" s="4">
        <v>0</v>
      </c>
      <c r="D92" s="4">
        <v>1</v>
      </c>
      <c r="E92" s="4">
        <v>211</v>
      </c>
      <c r="F92" s="4">
        <f>ROUND(Source!Y65,O92)</f>
        <v>1000</v>
      </c>
      <c r="G92" s="4" t="s">
        <v>137</v>
      </c>
      <c r="H92" s="4" t="s">
        <v>138</v>
      </c>
      <c r="I92" s="4"/>
      <c r="J92" s="4"/>
      <c r="K92" s="4">
        <v>211</v>
      </c>
      <c r="L92" s="4">
        <v>26</v>
      </c>
      <c r="M92" s="4">
        <v>3</v>
      </c>
      <c r="N92" s="4" t="s">
        <v>3</v>
      </c>
      <c r="O92" s="4">
        <v>0</v>
      </c>
      <c r="P92" s="4"/>
      <c r="Q92" s="4"/>
      <c r="R92" s="4"/>
      <c r="S92" s="4"/>
      <c r="T92" s="4"/>
      <c r="U92" s="4"/>
      <c r="V92" s="4"/>
      <c r="W92" s="4">
        <v>1060</v>
      </c>
      <c r="X92" s="4">
        <v>1</v>
      </c>
      <c r="Y92" s="4">
        <v>39528</v>
      </c>
      <c r="Z92" s="4"/>
      <c r="AA92" s="4"/>
      <c r="AB92" s="4"/>
    </row>
    <row r="93" spans="1:28" x14ac:dyDescent="0.2">
      <c r="A93" s="4">
        <v>50</v>
      </c>
      <c r="B93" s="4">
        <v>0</v>
      </c>
      <c r="C93" s="4">
        <v>0</v>
      </c>
      <c r="D93" s="4">
        <v>1</v>
      </c>
      <c r="E93" s="4">
        <v>224</v>
      </c>
      <c r="F93" s="4">
        <f>ROUND(Source!AR65,O93)</f>
        <v>8414</v>
      </c>
      <c r="G93" s="4" t="s">
        <v>139</v>
      </c>
      <c r="H93" s="4" t="s">
        <v>140</v>
      </c>
      <c r="I93" s="4"/>
      <c r="J93" s="4"/>
      <c r="K93" s="4">
        <v>224</v>
      </c>
      <c r="L93" s="4">
        <v>27</v>
      </c>
      <c r="M93" s="4">
        <v>3</v>
      </c>
      <c r="N93" s="4" t="s">
        <v>3</v>
      </c>
      <c r="O93" s="4">
        <v>0</v>
      </c>
      <c r="P93" s="4"/>
      <c r="Q93" s="4"/>
      <c r="R93" s="4"/>
      <c r="S93" s="4"/>
      <c r="T93" s="4"/>
      <c r="U93" s="4"/>
      <c r="V93" s="4"/>
      <c r="W93" s="4">
        <v>8756</v>
      </c>
      <c r="X93" s="4">
        <v>1</v>
      </c>
      <c r="Y93" s="4">
        <v>212735</v>
      </c>
      <c r="Z93" s="4"/>
      <c r="AA93" s="4"/>
      <c r="AB93" s="4"/>
    </row>
    <row r="96" spans="1:28" x14ac:dyDescent="0.2">
      <c r="A96">
        <v>70</v>
      </c>
      <c r="B96">
        <v>1</v>
      </c>
      <c r="D96">
        <v>1</v>
      </c>
      <c r="E96" t="s">
        <v>141</v>
      </c>
      <c r="F96" t="s">
        <v>142</v>
      </c>
      <c r="G96">
        <v>1</v>
      </c>
      <c r="H96">
        <v>0</v>
      </c>
      <c r="I96" t="s">
        <v>3</v>
      </c>
      <c r="J96">
        <v>1</v>
      </c>
      <c r="K96">
        <v>0</v>
      </c>
      <c r="L96" t="s">
        <v>3</v>
      </c>
      <c r="M96" t="s">
        <v>3</v>
      </c>
      <c r="N96">
        <v>0</v>
      </c>
      <c r="P96" t="s">
        <v>143</v>
      </c>
    </row>
    <row r="97" spans="1:16" x14ac:dyDescent="0.2">
      <c r="A97">
        <v>70</v>
      </c>
      <c r="B97">
        <v>1</v>
      </c>
      <c r="D97">
        <v>2</v>
      </c>
      <c r="E97" t="s">
        <v>144</v>
      </c>
      <c r="F97" t="s">
        <v>145</v>
      </c>
      <c r="G97">
        <v>0</v>
      </c>
      <c r="H97">
        <v>0</v>
      </c>
      <c r="I97" t="s">
        <v>3</v>
      </c>
      <c r="J97">
        <v>1</v>
      </c>
      <c r="K97">
        <v>0</v>
      </c>
      <c r="L97" t="s">
        <v>3</v>
      </c>
      <c r="M97" t="s">
        <v>3</v>
      </c>
      <c r="N97">
        <v>0</v>
      </c>
      <c r="P97" t="s">
        <v>146</v>
      </c>
    </row>
    <row r="98" spans="1:16" x14ac:dyDescent="0.2">
      <c r="A98">
        <v>70</v>
      </c>
      <c r="B98">
        <v>1</v>
      </c>
      <c r="D98">
        <v>3</v>
      </c>
      <c r="E98" t="s">
        <v>147</v>
      </c>
      <c r="F98" t="s">
        <v>148</v>
      </c>
      <c r="G98">
        <v>0</v>
      </c>
      <c r="H98">
        <v>0</v>
      </c>
      <c r="I98" t="s">
        <v>3</v>
      </c>
      <c r="J98">
        <v>1</v>
      </c>
      <c r="K98">
        <v>0</v>
      </c>
      <c r="L98" t="s">
        <v>3</v>
      </c>
      <c r="M98" t="s">
        <v>3</v>
      </c>
      <c r="N98">
        <v>0</v>
      </c>
      <c r="P98" t="s">
        <v>149</v>
      </c>
    </row>
    <row r="99" spans="1:16" x14ac:dyDescent="0.2">
      <c r="A99">
        <v>70</v>
      </c>
      <c r="B99">
        <v>1</v>
      </c>
      <c r="D99">
        <v>4</v>
      </c>
      <c r="E99" t="s">
        <v>150</v>
      </c>
      <c r="F99" t="s">
        <v>151</v>
      </c>
      <c r="G99">
        <v>1</v>
      </c>
      <c r="H99">
        <v>0</v>
      </c>
      <c r="I99" t="s">
        <v>3</v>
      </c>
      <c r="J99">
        <v>2</v>
      </c>
      <c r="K99">
        <v>0</v>
      </c>
      <c r="L99" t="s">
        <v>3</v>
      </c>
      <c r="M99" t="s">
        <v>3</v>
      </c>
      <c r="N99">
        <v>0</v>
      </c>
      <c r="P99" t="s">
        <v>3</v>
      </c>
    </row>
    <row r="100" spans="1:16" x14ac:dyDescent="0.2">
      <c r="A100">
        <v>70</v>
      </c>
      <c r="B100">
        <v>1</v>
      </c>
      <c r="D100">
        <v>5</v>
      </c>
      <c r="E100" t="s">
        <v>152</v>
      </c>
      <c r="F100" t="s">
        <v>153</v>
      </c>
      <c r="G100">
        <v>0</v>
      </c>
      <c r="H100">
        <v>0</v>
      </c>
      <c r="I100" t="s">
        <v>3</v>
      </c>
      <c r="J100">
        <v>2</v>
      </c>
      <c r="K100">
        <v>0</v>
      </c>
      <c r="L100" t="s">
        <v>3</v>
      </c>
      <c r="M100" t="s">
        <v>3</v>
      </c>
      <c r="N100">
        <v>0</v>
      </c>
      <c r="P100" t="s">
        <v>3</v>
      </c>
    </row>
    <row r="101" spans="1:16" x14ac:dyDescent="0.2">
      <c r="A101">
        <v>70</v>
      </c>
      <c r="B101">
        <v>1</v>
      </c>
      <c r="D101">
        <v>6</v>
      </c>
      <c r="E101" t="s">
        <v>154</v>
      </c>
      <c r="F101" t="s">
        <v>155</v>
      </c>
      <c r="G101">
        <v>0</v>
      </c>
      <c r="H101">
        <v>0</v>
      </c>
      <c r="I101" t="s">
        <v>3</v>
      </c>
      <c r="J101">
        <v>2</v>
      </c>
      <c r="K101">
        <v>0</v>
      </c>
      <c r="L101" t="s">
        <v>3</v>
      </c>
      <c r="M101" t="s">
        <v>3</v>
      </c>
      <c r="N101">
        <v>0</v>
      </c>
      <c r="P101" t="s">
        <v>3</v>
      </c>
    </row>
    <row r="102" spans="1:16" x14ac:dyDescent="0.2">
      <c r="A102">
        <v>70</v>
      </c>
      <c r="B102">
        <v>1</v>
      </c>
      <c r="D102">
        <v>7</v>
      </c>
      <c r="E102" t="s">
        <v>156</v>
      </c>
      <c r="F102" t="s">
        <v>157</v>
      </c>
      <c r="G102">
        <v>0</v>
      </c>
      <c r="H102">
        <v>0</v>
      </c>
      <c r="I102" t="s">
        <v>158</v>
      </c>
      <c r="J102">
        <v>0</v>
      </c>
      <c r="K102">
        <v>0</v>
      </c>
      <c r="L102" t="s">
        <v>3</v>
      </c>
      <c r="M102" t="s">
        <v>3</v>
      </c>
      <c r="N102">
        <v>0</v>
      </c>
      <c r="P102" t="s">
        <v>159</v>
      </c>
    </row>
    <row r="103" spans="1:16" x14ac:dyDescent="0.2">
      <c r="A103">
        <v>70</v>
      </c>
      <c r="B103">
        <v>1</v>
      </c>
      <c r="D103">
        <v>8</v>
      </c>
      <c r="E103" t="s">
        <v>160</v>
      </c>
      <c r="F103" t="s">
        <v>161</v>
      </c>
      <c r="G103">
        <v>1</v>
      </c>
      <c r="H103">
        <v>0</v>
      </c>
      <c r="I103" t="s">
        <v>3</v>
      </c>
      <c r="J103">
        <v>5</v>
      </c>
      <c r="K103">
        <v>0</v>
      </c>
      <c r="L103" t="s">
        <v>3</v>
      </c>
      <c r="M103" t="s">
        <v>3</v>
      </c>
      <c r="N103">
        <v>0</v>
      </c>
      <c r="P103" t="s">
        <v>3</v>
      </c>
    </row>
    <row r="104" spans="1:16" x14ac:dyDescent="0.2">
      <c r="A104">
        <v>70</v>
      </c>
      <c r="B104">
        <v>1</v>
      </c>
      <c r="D104">
        <v>9</v>
      </c>
      <c r="E104" t="s">
        <v>162</v>
      </c>
      <c r="F104" t="s">
        <v>163</v>
      </c>
      <c r="G104">
        <v>0</v>
      </c>
      <c r="H104">
        <v>0</v>
      </c>
      <c r="I104" t="s">
        <v>3</v>
      </c>
      <c r="J104">
        <v>5</v>
      </c>
      <c r="K104">
        <v>0</v>
      </c>
      <c r="L104" t="s">
        <v>3</v>
      </c>
      <c r="M104" t="s">
        <v>3</v>
      </c>
      <c r="N104">
        <v>0</v>
      </c>
      <c r="P104" t="s">
        <v>3</v>
      </c>
    </row>
    <row r="105" spans="1:16" x14ac:dyDescent="0.2">
      <c r="A105">
        <v>70</v>
      </c>
      <c r="B105">
        <v>1</v>
      </c>
      <c r="D105">
        <v>10</v>
      </c>
      <c r="E105" t="s">
        <v>164</v>
      </c>
      <c r="F105" t="s">
        <v>165</v>
      </c>
      <c r="G105">
        <v>0</v>
      </c>
      <c r="H105">
        <v>0</v>
      </c>
      <c r="I105" t="s">
        <v>166</v>
      </c>
      <c r="J105">
        <v>5</v>
      </c>
      <c r="K105">
        <v>0</v>
      </c>
      <c r="L105" t="s">
        <v>3</v>
      </c>
      <c r="M105" t="s">
        <v>3</v>
      </c>
      <c r="N105">
        <v>0</v>
      </c>
      <c r="P105" t="s">
        <v>167</v>
      </c>
    </row>
    <row r="106" spans="1:16" x14ac:dyDescent="0.2">
      <c r="A106">
        <v>70</v>
      </c>
      <c r="B106">
        <v>1</v>
      </c>
      <c r="D106">
        <v>11</v>
      </c>
      <c r="E106" t="s">
        <v>168</v>
      </c>
      <c r="F106" t="s">
        <v>169</v>
      </c>
      <c r="G106">
        <v>0</v>
      </c>
      <c r="H106">
        <v>0</v>
      </c>
      <c r="I106" t="s">
        <v>170</v>
      </c>
      <c r="J106">
        <v>0</v>
      </c>
      <c r="K106">
        <v>0</v>
      </c>
      <c r="L106" t="s">
        <v>3</v>
      </c>
      <c r="M106" t="s">
        <v>3</v>
      </c>
      <c r="N106">
        <v>0</v>
      </c>
      <c r="P106" t="s">
        <v>171</v>
      </c>
    </row>
    <row r="107" spans="1:16" x14ac:dyDescent="0.2">
      <c r="A107">
        <v>70</v>
      </c>
      <c r="B107">
        <v>1</v>
      </c>
      <c r="D107">
        <v>12</v>
      </c>
      <c r="E107" t="s">
        <v>172</v>
      </c>
      <c r="F107" t="s">
        <v>173</v>
      </c>
      <c r="G107">
        <v>0</v>
      </c>
      <c r="H107">
        <v>0</v>
      </c>
      <c r="I107" t="s">
        <v>174</v>
      </c>
      <c r="J107">
        <v>0</v>
      </c>
      <c r="K107">
        <v>0</v>
      </c>
      <c r="L107" t="s">
        <v>3</v>
      </c>
      <c r="M107" t="s">
        <v>3</v>
      </c>
      <c r="N107">
        <v>0</v>
      </c>
      <c r="P107" t="s">
        <v>175</v>
      </c>
    </row>
    <row r="108" spans="1:16" x14ac:dyDescent="0.2">
      <c r="A108">
        <v>70</v>
      </c>
      <c r="B108">
        <v>1</v>
      </c>
      <c r="D108">
        <v>13</v>
      </c>
      <c r="E108" t="s">
        <v>176</v>
      </c>
      <c r="F108" t="s">
        <v>177</v>
      </c>
      <c r="G108">
        <v>0</v>
      </c>
      <c r="H108">
        <v>0</v>
      </c>
      <c r="I108" t="s">
        <v>178</v>
      </c>
      <c r="J108">
        <v>0</v>
      </c>
      <c r="K108">
        <v>0</v>
      </c>
      <c r="L108" t="s">
        <v>3</v>
      </c>
      <c r="M108" t="s">
        <v>3</v>
      </c>
      <c r="N108">
        <v>0</v>
      </c>
      <c r="P108" t="s">
        <v>179</v>
      </c>
    </row>
    <row r="109" spans="1:16" x14ac:dyDescent="0.2">
      <c r="A109">
        <v>70</v>
      </c>
      <c r="B109">
        <v>1</v>
      </c>
      <c r="D109">
        <v>14</v>
      </c>
      <c r="E109" t="s">
        <v>180</v>
      </c>
      <c r="F109" t="s">
        <v>181</v>
      </c>
      <c r="G109">
        <v>0</v>
      </c>
      <c r="H109">
        <v>0</v>
      </c>
      <c r="I109" t="s">
        <v>3</v>
      </c>
      <c r="J109">
        <v>0</v>
      </c>
      <c r="K109">
        <v>0</v>
      </c>
      <c r="L109" t="s">
        <v>3</v>
      </c>
      <c r="M109" t="s">
        <v>3</v>
      </c>
      <c r="N109">
        <v>0</v>
      </c>
      <c r="P109" t="s">
        <v>182</v>
      </c>
    </row>
    <row r="110" spans="1:16" x14ac:dyDescent="0.2">
      <c r="A110">
        <v>70</v>
      </c>
      <c r="B110">
        <v>1</v>
      </c>
      <c r="D110">
        <v>15</v>
      </c>
      <c r="E110" t="s">
        <v>183</v>
      </c>
      <c r="F110" t="s">
        <v>184</v>
      </c>
      <c r="G110">
        <v>0</v>
      </c>
      <c r="H110">
        <v>0</v>
      </c>
      <c r="I110" t="s">
        <v>3</v>
      </c>
      <c r="J110">
        <v>3</v>
      </c>
      <c r="K110">
        <v>0</v>
      </c>
      <c r="L110" t="s">
        <v>3</v>
      </c>
      <c r="M110" t="s">
        <v>3</v>
      </c>
      <c r="N110">
        <v>0</v>
      </c>
      <c r="P110" t="s">
        <v>3</v>
      </c>
    </row>
    <row r="111" spans="1:16" x14ac:dyDescent="0.2">
      <c r="A111">
        <v>70</v>
      </c>
      <c r="B111">
        <v>1</v>
      </c>
      <c r="D111">
        <v>16</v>
      </c>
      <c r="E111" t="s">
        <v>185</v>
      </c>
      <c r="F111" t="s">
        <v>186</v>
      </c>
      <c r="G111">
        <v>1</v>
      </c>
      <c r="H111">
        <v>0</v>
      </c>
      <c r="I111" t="s">
        <v>3</v>
      </c>
      <c r="J111">
        <v>3</v>
      </c>
      <c r="K111">
        <v>0</v>
      </c>
      <c r="L111" t="s">
        <v>3</v>
      </c>
      <c r="M111" t="s">
        <v>3</v>
      </c>
      <c r="N111">
        <v>0</v>
      </c>
      <c r="P111" t="s">
        <v>3</v>
      </c>
    </row>
    <row r="112" spans="1:16" x14ac:dyDescent="0.2">
      <c r="A112">
        <v>70</v>
      </c>
      <c r="B112">
        <v>1</v>
      </c>
      <c r="D112">
        <v>1</v>
      </c>
      <c r="E112" t="s">
        <v>187</v>
      </c>
      <c r="F112" t="s">
        <v>188</v>
      </c>
      <c r="G112">
        <v>0.9</v>
      </c>
      <c r="H112">
        <v>1</v>
      </c>
      <c r="I112" t="s">
        <v>189</v>
      </c>
      <c r="J112">
        <v>0</v>
      </c>
      <c r="K112">
        <v>0</v>
      </c>
      <c r="L112" t="s">
        <v>3</v>
      </c>
      <c r="M112" t="s">
        <v>3</v>
      </c>
      <c r="N112">
        <v>0</v>
      </c>
      <c r="P112" t="s">
        <v>190</v>
      </c>
    </row>
    <row r="113" spans="1:40" x14ac:dyDescent="0.2">
      <c r="A113">
        <v>70</v>
      </c>
      <c r="B113">
        <v>1</v>
      </c>
      <c r="D113">
        <v>2</v>
      </c>
      <c r="E113" t="s">
        <v>191</v>
      </c>
      <c r="F113" t="s">
        <v>192</v>
      </c>
      <c r="G113">
        <v>0.85</v>
      </c>
      <c r="H113">
        <v>1</v>
      </c>
      <c r="I113" t="s">
        <v>193</v>
      </c>
      <c r="J113">
        <v>0</v>
      </c>
      <c r="K113">
        <v>0</v>
      </c>
      <c r="L113" t="s">
        <v>3</v>
      </c>
      <c r="M113" t="s">
        <v>3</v>
      </c>
      <c r="N113">
        <v>0</v>
      </c>
      <c r="P113" t="s">
        <v>194</v>
      </c>
    </row>
    <row r="114" spans="1:40" x14ac:dyDescent="0.2">
      <c r="A114">
        <v>70</v>
      </c>
      <c r="B114">
        <v>1</v>
      </c>
      <c r="D114">
        <v>3</v>
      </c>
      <c r="E114" t="s">
        <v>195</v>
      </c>
      <c r="F114" t="s">
        <v>196</v>
      </c>
      <c r="G114">
        <v>1.03</v>
      </c>
      <c r="H114">
        <v>0</v>
      </c>
      <c r="I114" t="s">
        <v>3</v>
      </c>
      <c r="J114">
        <v>0</v>
      </c>
      <c r="K114">
        <v>0</v>
      </c>
      <c r="L114" t="s">
        <v>3</v>
      </c>
      <c r="M114" t="s">
        <v>3</v>
      </c>
      <c r="N114">
        <v>0</v>
      </c>
      <c r="P114" t="s">
        <v>197</v>
      </c>
    </row>
    <row r="115" spans="1:40" x14ac:dyDescent="0.2">
      <c r="A115">
        <v>70</v>
      </c>
      <c r="B115">
        <v>1</v>
      </c>
      <c r="D115">
        <v>4</v>
      </c>
      <c r="E115" t="s">
        <v>198</v>
      </c>
      <c r="F115" t="s">
        <v>199</v>
      </c>
      <c r="G115">
        <v>1.1499999999999999</v>
      </c>
      <c r="H115">
        <v>0</v>
      </c>
      <c r="I115" t="s">
        <v>3</v>
      </c>
      <c r="J115">
        <v>0</v>
      </c>
      <c r="K115">
        <v>0</v>
      </c>
      <c r="L115" t="s">
        <v>3</v>
      </c>
      <c r="M115" t="s">
        <v>3</v>
      </c>
      <c r="N115">
        <v>0</v>
      </c>
      <c r="P115" t="s">
        <v>200</v>
      </c>
    </row>
    <row r="116" spans="1:40" x14ac:dyDescent="0.2">
      <c r="A116">
        <v>70</v>
      </c>
      <c r="B116">
        <v>1</v>
      </c>
      <c r="D116">
        <v>5</v>
      </c>
      <c r="E116" t="s">
        <v>201</v>
      </c>
      <c r="F116" t="s">
        <v>202</v>
      </c>
      <c r="G116">
        <v>7</v>
      </c>
      <c r="H116">
        <v>0</v>
      </c>
      <c r="I116" t="s">
        <v>3</v>
      </c>
      <c r="J116">
        <v>0</v>
      </c>
      <c r="K116">
        <v>0</v>
      </c>
      <c r="L116" t="s">
        <v>3</v>
      </c>
      <c r="M116" t="s">
        <v>3</v>
      </c>
      <c r="N116">
        <v>0</v>
      </c>
      <c r="P116" t="s">
        <v>3</v>
      </c>
    </row>
    <row r="117" spans="1:40" x14ac:dyDescent="0.2">
      <c r="A117">
        <v>70</v>
      </c>
      <c r="B117">
        <v>1</v>
      </c>
      <c r="D117">
        <v>6</v>
      </c>
      <c r="E117" t="s">
        <v>203</v>
      </c>
      <c r="F117" t="s">
        <v>3</v>
      </c>
      <c r="G117">
        <v>2</v>
      </c>
      <c r="H117">
        <v>0</v>
      </c>
      <c r="I117" t="s">
        <v>3</v>
      </c>
      <c r="J117">
        <v>0</v>
      </c>
      <c r="K117">
        <v>0</v>
      </c>
      <c r="L117" t="s">
        <v>3</v>
      </c>
      <c r="M117" t="s">
        <v>3</v>
      </c>
      <c r="N117">
        <v>0</v>
      </c>
      <c r="P117" t="s">
        <v>3</v>
      </c>
    </row>
    <row r="119" spans="1:40" x14ac:dyDescent="0.2">
      <c r="A119">
        <v>-1</v>
      </c>
    </row>
    <row r="121" spans="1:40" x14ac:dyDescent="0.2">
      <c r="A121" s="3">
        <v>75</v>
      </c>
      <c r="B121" s="3" t="s">
        <v>204</v>
      </c>
      <c r="C121" s="3">
        <v>2026</v>
      </c>
      <c r="D121" s="3">
        <v>0</v>
      </c>
      <c r="E121" s="3">
        <v>2</v>
      </c>
      <c r="F121" s="3">
        <v>0</v>
      </c>
      <c r="G121" s="3">
        <v>0</v>
      </c>
      <c r="H121" s="3">
        <v>1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60563954</v>
      </c>
      <c r="O121" s="3">
        <v>1</v>
      </c>
    </row>
    <row r="122" spans="1:40" x14ac:dyDescent="0.2">
      <c r="A122" s="5">
        <v>3</v>
      </c>
      <c r="B122" s="5" t="s">
        <v>205</v>
      </c>
      <c r="C122" s="5">
        <v>1</v>
      </c>
      <c r="D122" s="5">
        <v>10.19</v>
      </c>
      <c r="E122" s="5">
        <v>14.28</v>
      </c>
      <c r="F122" s="5">
        <v>37.299999999999997</v>
      </c>
      <c r="G122" s="5">
        <v>37.299999999999997</v>
      </c>
      <c r="H122" s="5">
        <v>1</v>
      </c>
      <c r="I122" s="5">
        <v>1</v>
      </c>
      <c r="J122" s="5">
        <v>2</v>
      </c>
      <c r="K122" s="5">
        <v>1</v>
      </c>
      <c r="L122" s="5">
        <v>14.38</v>
      </c>
      <c r="M122" s="5">
        <v>1</v>
      </c>
      <c r="N122" s="5">
        <v>10.19</v>
      </c>
      <c r="O122" s="5">
        <v>1</v>
      </c>
      <c r="P122" s="5">
        <v>1</v>
      </c>
      <c r="Q122" s="5">
        <v>1</v>
      </c>
      <c r="R122" s="5">
        <v>14.38</v>
      </c>
      <c r="S122" s="5" t="s">
        <v>3</v>
      </c>
      <c r="T122" s="5" t="s">
        <v>3</v>
      </c>
      <c r="U122" s="5" t="s">
        <v>3</v>
      </c>
      <c r="V122" s="5" t="s">
        <v>3</v>
      </c>
      <c r="W122" s="5" t="s">
        <v>3</v>
      </c>
      <c r="X122" s="5" t="s">
        <v>3</v>
      </c>
      <c r="Y122" s="5" t="s">
        <v>3</v>
      </c>
      <c r="Z122" s="5" t="s">
        <v>3</v>
      </c>
      <c r="AA122" s="5" t="s">
        <v>3</v>
      </c>
      <c r="AB122" s="5" t="s">
        <v>3</v>
      </c>
      <c r="AC122" s="5" t="s">
        <v>3</v>
      </c>
      <c r="AD122" s="5" t="s">
        <v>3</v>
      </c>
      <c r="AE122" s="5" t="s">
        <v>3</v>
      </c>
      <c r="AF122" s="5" t="s">
        <v>3</v>
      </c>
      <c r="AG122" s="5" t="s">
        <v>3</v>
      </c>
      <c r="AH122" s="5" t="s">
        <v>3</v>
      </c>
      <c r="AI122" s="5"/>
      <c r="AJ122" s="5"/>
      <c r="AK122" s="5"/>
      <c r="AL122" s="5"/>
      <c r="AM122" s="5"/>
      <c r="AN122" s="5">
        <v>60563955</v>
      </c>
    </row>
    <row r="126" spans="1:40" x14ac:dyDescent="0.2">
      <c r="A126">
        <v>65</v>
      </c>
      <c r="C126">
        <v>1</v>
      </c>
      <c r="D126">
        <v>0</v>
      </c>
      <c r="E126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C5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206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16987</v>
      </c>
      <c r="M1">
        <v>28058709</v>
      </c>
      <c r="N1">
        <v>11</v>
      </c>
      <c r="O1">
        <v>15</v>
      </c>
      <c r="P1">
        <v>0</v>
      </c>
      <c r="Q1">
        <v>2</v>
      </c>
    </row>
    <row r="12" spans="1:133" x14ac:dyDescent="0.2">
      <c r="A12" s="1">
        <v>1</v>
      </c>
      <c r="B12" s="1">
        <v>51</v>
      </c>
      <c r="C12" s="1">
        <v>0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518</v>
      </c>
      <c r="N12" s="1"/>
      <c r="O12" s="1">
        <v>0</v>
      </c>
      <c r="P12" s="1">
        <v>0</v>
      </c>
      <c r="Q12" s="1">
        <v>0</v>
      </c>
      <c r="R12" s="1">
        <v>0</v>
      </c>
      <c r="S12" s="1"/>
      <c r="T12" s="1">
        <v>3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2</v>
      </c>
      <c r="BQ12" s="1">
        <v>0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405274632</v>
      </c>
      <c r="CI12" s="1" t="s">
        <v>3</v>
      </c>
      <c r="CJ12" s="1" t="s">
        <v>3</v>
      </c>
      <c r="CK12" s="1">
        <v>9</v>
      </c>
      <c r="CL12" s="1"/>
      <c r="CM12" s="1"/>
      <c r="CN12" s="1"/>
      <c r="CO12" s="1"/>
      <c r="CP12" s="1"/>
      <c r="CQ12" s="1" t="s">
        <v>356</v>
      </c>
      <c r="CR12" s="1" t="s">
        <v>12</v>
      </c>
      <c r="CS12" s="1">
        <v>44551</v>
      </c>
      <c r="CT12" s="1">
        <v>395</v>
      </c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60563954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6">
        <v>3</v>
      </c>
      <c r="B16" s="6">
        <v>1</v>
      </c>
      <c r="C16" s="6" t="s">
        <v>13</v>
      </c>
      <c r="D16" s="6" t="s">
        <v>13</v>
      </c>
      <c r="E16" s="7">
        <v>212.74</v>
      </c>
      <c r="F16" s="7">
        <v>0</v>
      </c>
      <c r="G16" s="7">
        <v>0</v>
      </c>
      <c r="H16" s="7">
        <v>0</v>
      </c>
      <c r="I16" s="7">
        <v>212.74</v>
      </c>
      <c r="J16" s="7">
        <v>63.41</v>
      </c>
      <c r="K16" s="7">
        <v>6.01</v>
      </c>
      <c r="L16" s="7">
        <v>0</v>
      </c>
      <c r="M16" s="7">
        <v>0</v>
      </c>
      <c r="N16" s="7">
        <v>212.74</v>
      </c>
      <c r="AI16" s="6">
        <v>0</v>
      </c>
      <c r="AJ16" s="6">
        <v>0</v>
      </c>
      <c r="AK16" s="6" t="s">
        <v>3</v>
      </c>
      <c r="AL16" s="6" t="s">
        <v>3</v>
      </c>
      <c r="AM16" s="6" t="s">
        <v>3</v>
      </c>
      <c r="AN16" s="6">
        <v>0</v>
      </c>
      <c r="AO16" s="6" t="s">
        <v>3</v>
      </c>
      <c r="AP16" s="6" t="s">
        <v>3</v>
      </c>
      <c r="AT16" s="7">
        <v>113717</v>
      </c>
      <c r="AU16" s="7">
        <v>418</v>
      </c>
      <c r="AV16" s="7">
        <v>0</v>
      </c>
      <c r="AW16" s="7">
        <v>0</v>
      </c>
      <c r="AX16" s="7">
        <v>0</v>
      </c>
      <c r="AY16" s="7">
        <v>67987</v>
      </c>
      <c r="AZ16" s="7">
        <v>20067</v>
      </c>
      <c r="BA16" s="7">
        <v>43342</v>
      </c>
      <c r="BB16" s="7">
        <v>212735</v>
      </c>
      <c r="BC16" s="7">
        <v>0</v>
      </c>
      <c r="BD16" s="7">
        <v>0</v>
      </c>
      <c r="BE16" s="7">
        <v>0</v>
      </c>
      <c r="BF16" s="7">
        <v>113.77800000000001</v>
      </c>
      <c r="BG16" s="7">
        <v>39.951599999999999</v>
      </c>
      <c r="BH16" s="7">
        <v>0</v>
      </c>
      <c r="BI16" s="7">
        <v>59490</v>
      </c>
      <c r="BJ16" s="7">
        <v>39528</v>
      </c>
      <c r="BK16" s="7">
        <v>212735</v>
      </c>
    </row>
    <row r="18" spans="1:16" x14ac:dyDescent="0.2">
      <c r="A18">
        <v>51</v>
      </c>
      <c r="E18">
        <v>212.74</v>
      </c>
      <c r="F18">
        <v>0</v>
      </c>
      <c r="G18">
        <v>0</v>
      </c>
      <c r="H18">
        <v>0</v>
      </c>
      <c r="I18">
        <v>212.74</v>
      </c>
      <c r="J18">
        <v>63.41</v>
      </c>
      <c r="K18">
        <v>6.01</v>
      </c>
      <c r="L18">
        <v>0</v>
      </c>
      <c r="M18">
        <v>0</v>
      </c>
      <c r="N18">
        <v>212.74</v>
      </c>
    </row>
    <row r="20" spans="1:16" x14ac:dyDescent="0.2">
      <c r="A20" s="4">
        <v>50</v>
      </c>
      <c r="B20" s="4">
        <v>0</v>
      </c>
      <c r="C20" s="4">
        <v>0</v>
      </c>
      <c r="D20" s="4">
        <v>1</v>
      </c>
      <c r="E20" s="4">
        <v>201</v>
      </c>
      <c r="F20" s="4">
        <v>113717</v>
      </c>
      <c r="G20" s="4" t="s">
        <v>87</v>
      </c>
      <c r="H20" s="4" t="s">
        <v>88</v>
      </c>
      <c r="I20" s="4"/>
      <c r="J20" s="4"/>
      <c r="K20" s="4">
        <v>201</v>
      </c>
      <c r="L20" s="4">
        <v>1</v>
      </c>
      <c r="M20" s="4">
        <v>3</v>
      </c>
      <c r="N20" s="4" t="s">
        <v>3</v>
      </c>
      <c r="O20" s="4">
        <v>0</v>
      </c>
      <c r="P20" s="4"/>
    </row>
    <row r="21" spans="1:16" x14ac:dyDescent="0.2">
      <c r="A21" s="4">
        <v>50</v>
      </c>
      <c r="B21" s="4">
        <v>0</v>
      </c>
      <c r="C21" s="4">
        <v>0</v>
      </c>
      <c r="D21" s="4">
        <v>1</v>
      </c>
      <c r="E21" s="4">
        <v>202</v>
      </c>
      <c r="F21" s="4">
        <v>418</v>
      </c>
      <c r="G21" s="4" t="s">
        <v>89</v>
      </c>
      <c r="H21" s="4" t="s">
        <v>90</v>
      </c>
      <c r="I21" s="4"/>
      <c r="J21" s="4"/>
      <c r="K21" s="4">
        <v>202</v>
      </c>
      <c r="L21" s="4">
        <v>2</v>
      </c>
      <c r="M21" s="4">
        <v>3</v>
      </c>
      <c r="N21" s="4" t="s">
        <v>3</v>
      </c>
      <c r="O21" s="4">
        <v>0</v>
      </c>
      <c r="P21" s="4"/>
    </row>
    <row r="22" spans="1:16" x14ac:dyDescent="0.2">
      <c r="A22" s="4">
        <v>50</v>
      </c>
      <c r="B22" s="4">
        <v>0</v>
      </c>
      <c r="C22" s="4">
        <v>0</v>
      </c>
      <c r="D22" s="4">
        <v>1</v>
      </c>
      <c r="E22" s="4">
        <v>222</v>
      </c>
      <c r="F22" s="4">
        <v>0</v>
      </c>
      <c r="G22" s="4" t="s">
        <v>91</v>
      </c>
      <c r="H22" s="4" t="s">
        <v>92</v>
      </c>
      <c r="I22" s="4"/>
      <c r="J22" s="4"/>
      <c r="K22" s="4">
        <v>222</v>
      </c>
      <c r="L22" s="4">
        <v>3</v>
      </c>
      <c r="M22" s="4">
        <v>3</v>
      </c>
      <c r="N22" s="4" t="s">
        <v>3</v>
      </c>
      <c r="O22" s="4">
        <v>0</v>
      </c>
      <c r="P22" s="4"/>
    </row>
    <row r="23" spans="1:16" x14ac:dyDescent="0.2">
      <c r="A23" s="4">
        <v>50</v>
      </c>
      <c r="B23" s="4">
        <v>0</v>
      </c>
      <c r="C23" s="4">
        <v>0</v>
      </c>
      <c r="D23" s="4">
        <v>1</v>
      </c>
      <c r="E23" s="4">
        <v>225</v>
      </c>
      <c r="F23" s="4">
        <v>0</v>
      </c>
      <c r="G23" s="4" t="s">
        <v>93</v>
      </c>
      <c r="H23" s="4" t="s">
        <v>94</v>
      </c>
      <c r="I23" s="4"/>
      <c r="J23" s="4"/>
      <c r="K23" s="4">
        <v>225</v>
      </c>
      <c r="L23" s="4">
        <v>4</v>
      </c>
      <c r="M23" s="4">
        <v>3</v>
      </c>
      <c r="N23" s="4" t="s">
        <v>3</v>
      </c>
      <c r="O23" s="4">
        <v>0</v>
      </c>
      <c r="P23" s="4"/>
    </row>
    <row r="24" spans="1:16" x14ac:dyDescent="0.2">
      <c r="A24" s="4">
        <v>50</v>
      </c>
      <c r="B24" s="4">
        <v>0</v>
      </c>
      <c r="C24" s="4">
        <v>0</v>
      </c>
      <c r="D24" s="4">
        <v>1</v>
      </c>
      <c r="E24" s="4">
        <v>226</v>
      </c>
      <c r="F24" s="4">
        <v>418</v>
      </c>
      <c r="G24" s="4" t="s">
        <v>95</v>
      </c>
      <c r="H24" s="4" t="s">
        <v>96</v>
      </c>
      <c r="I24" s="4"/>
      <c r="J24" s="4"/>
      <c r="K24" s="4">
        <v>226</v>
      </c>
      <c r="L24" s="4">
        <v>5</v>
      </c>
      <c r="M24" s="4">
        <v>3</v>
      </c>
      <c r="N24" s="4" t="s">
        <v>3</v>
      </c>
      <c r="O24" s="4">
        <v>0</v>
      </c>
      <c r="P24" s="4"/>
    </row>
    <row r="25" spans="1:16" x14ac:dyDescent="0.2">
      <c r="A25" s="4">
        <v>50</v>
      </c>
      <c r="B25" s="4">
        <v>0</v>
      </c>
      <c r="C25" s="4">
        <v>0</v>
      </c>
      <c r="D25" s="4">
        <v>1</v>
      </c>
      <c r="E25" s="4">
        <v>227</v>
      </c>
      <c r="F25" s="4">
        <v>0</v>
      </c>
      <c r="G25" s="4" t="s">
        <v>97</v>
      </c>
      <c r="H25" s="4" t="s">
        <v>98</v>
      </c>
      <c r="I25" s="4"/>
      <c r="J25" s="4"/>
      <c r="K25" s="4">
        <v>227</v>
      </c>
      <c r="L25" s="4">
        <v>6</v>
      </c>
      <c r="M25" s="4">
        <v>3</v>
      </c>
      <c r="N25" s="4" t="s">
        <v>3</v>
      </c>
      <c r="O25" s="4">
        <v>0</v>
      </c>
      <c r="P25" s="4"/>
    </row>
    <row r="26" spans="1:16" x14ac:dyDescent="0.2">
      <c r="A26" s="4">
        <v>50</v>
      </c>
      <c r="B26" s="4">
        <v>0</v>
      </c>
      <c r="C26" s="4">
        <v>0</v>
      </c>
      <c r="D26" s="4">
        <v>1</v>
      </c>
      <c r="E26" s="4">
        <v>228</v>
      </c>
      <c r="F26" s="4">
        <v>418</v>
      </c>
      <c r="G26" s="4" t="s">
        <v>99</v>
      </c>
      <c r="H26" s="4" t="s">
        <v>100</v>
      </c>
      <c r="I26" s="4"/>
      <c r="J26" s="4"/>
      <c r="K26" s="4">
        <v>228</v>
      </c>
      <c r="L26" s="4">
        <v>7</v>
      </c>
      <c r="M26" s="4">
        <v>3</v>
      </c>
      <c r="N26" s="4" t="s">
        <v>3</v>
      </c>
      <c r="O26" s="4">
        <v>0</v>
      </c>
      <c r="P26" s="4"/>
    </row>
    <row r="27" spans="1:16" x14ac:dyDescent="0.2">
      <c r="A27" s="4">
        <v>50</v>
      </c>
      <c r="B27" s="4">
        <v>0</v>
      </c>
      <c r="C27" s="4">
        <v>0</v>
      </c>
      <c r="D27" s="4">
        <v>1</v>
      </c>
      <c r="E27" s="4">
        <v>216</v>
      </c>
      <c r="F27" s="4">
        <v>0</v>
      </c>
      <c r="G27" s="4" t="s">
        <v>101</v>
      </c>
      <c r="H27" s="4" t="s">
        <v>102</v>
      </c>
      <c r="I27" s="4"/>
      <c r="J27" s="4"/>
      <c r="K27" s="4">
        <v>216</v>
      </c>
      <c r="L27" s="4">
        <v>8</v>
      </c>
      <c r="M27" s="4">
        <v>3</v>
      </c>
      <c r="N27" s="4" t="s">
        <v>3</v>
      </c>
      <c r="O27" s="4">
        <v>0</v>
      </c>
      <c r="P27" s="4"/>
    </row>
    <row r="28" spans="1:16" x14ac:dyDescent="0.2">
      <c r="A28" s="4">
        <v>50</v>
      </c>
      <c r="B28" s="4">
        <v>0</v>
      </c>
      <c r="C28" s="4">
        <v>0</v>
      </c>
      <c r="D28" s="4">
        <v>1</v>
      </c>
      <c r="E28" s="4">
        <v>223</v>
      </c>
      <c r="F28" s="4">
        <v>0</v>
      </c>
      <c r="G28" s="4" t="s">
        <v>103</v>
      </c>
      <c r="H28" s="4" t="s">
        <v>104</v>
      </c>
      <c r="I28" s="4"/>
      <c r="J28" s="4"/>
      <c r="K28" s="4">
        <v>223</v>
      </c>
      <c r="L28" s="4">
        <v>9</v>
      </c>
      <c r="M28" s="4">
        <v>3</v>
      </c>
      <c r="N28" s="4" t="s">
        <v>3</v>
      </c>
      <c r="O28" s="4">
        <v>0</v>
      </c>
      <c r="P28" s="4"/>
    </row>
    <row r="29" spans="1:16" x14ac:dyDescent="0.2">
      <c r="A29" s="4">
        <v>50</v>
      </c>
      <c r="B29" s="4">
        <v>0</v>
      </c>
      <c r="C29" s="4">
        <v>0</v>
      </c>
      <c r="D29" s="4">
        <v>1</v>
      </c>
      <c r="E29" s="4">
        <v>229</v>
      </c>
      <c r="F29" s="4">
        <v>0</v>
      </c>
      <c r="G29" s="4" t="s">
        <v>105</v>
      </c>
      <c r="H29" s="4" t="s">
        <v>106</v>
      </c>
      <c r="I29" s="4"/>
      <c r="J29" s="4"/>
      <c r="K29" s="4">
        <v>229</v>
      </c>
      <c r="L29" s="4">
        <v>10</v>
      </c>
      <c r="M29" s="4">
        <v>3</v>
      </c>
      <c r="N29" s="4" t="s">
        <v>3</v>
      </c>
      <c r="O29" s="4">
        <v>0</v>
      </c>
      <c r="P29" s="4"/>
    </row>
    <row r="30" spans="1:16" x14ac:dyDescent="0.2">
      <c r="A30" s="4">
        <v>50</v>
      </c>
      <c r="B30" s="4">
        <v>0</v>
      </c>
      <c r="C30" s="4">
        <v>0</v>
      </c>
      <c r="D30" s="4">
        <v>1</v>
      </c>
      <c r="E30" s="4">
        <v>203</v>
      </c>
      <c r="F30" s="4">
        <v>67987</v>
      </c>
      <c r="G30" s="4" t="s">
        <v>107</v>
      </c>
      <c r="H30" s="4" t="s">
        <v>108</v>
      </c>
      <c r="I30" s="4"/>
      <c r="J30" s="4"/>
      <c r="K30" s="4">
        <v>203</v>
      </c>
      <c r="L30" s="4">
        <v>11</v>
      </c>
      <c r="M30" s="4">
        <v>3</v>
      </c>
      <c r="N30" s="4" t="s">
        <v>3</v>
      </c>
      <c r="O30" s="4">
        <v>0</v>
      </c>
      <c r="P30" s="4"/>
    </row>
    <row r="31" spans="1:16" x14ac:dyDescent="0.2">
      <c r="A31" s="4">
        <v>50</v>
      </c>
      <c r="B31" s="4">
        <v>0</v>
      </c>
      <c r="C31" s="4">
        <v>0</v>
      </c>
      <c r="D31" s="4">
        <v>1</v>
      </c>
      <c r="E31" s="4">
        <v>231</v>
      </c>
      <c r="F31" s="4">
        <v>0</v>
      </c>
      <c r="G31" s="4" t="s">
        <v>109</v>
      </c>
      <c r="H31" s="4" t="s">
        <v>110</v>
      </c>
      <c r="I31" s="4"/>
      <c r="J31" s="4"/>
      <c r="K31" s="4">
        <v>231</v>
      </c>
      <c r="L31" s="4">
        <v>12</v>
      </c>
      <c r="M31" s="4">
        <v>3</v>
      </c>
      <c r="N31" s="4" t="s">
        <v>3</v>
      </c>
      <c r="O31" s="4">
        <v>0</v>
      </c>
      <c r="P31" s="4"/>
    </row>
    <row r="32" spans="1:16" x14ac:dyDescent="0.2">
      <c r="A32" s="4">
        <v>50</v>
      </c>
      <c r="B32" s="4">
        <v>0</v>
      </c>
      <c r="C32" s="4">
        <v>0</v>
      </c>
      <c r="D32" s="4">
        <v>1</v>
      </c>
      <c r="E32" s="4">
        <v>204</v>
      </c>
      <c r="F32" s="4">
        <v>20067</v>
      </c>
      <c r="G32" s="4" t="s">
        <v>111</v>
      </c>
      <c r="H32" s="4" t="s">
        <v>112</v>
      </c>
      <c r="I32" s="4"/>
      <c r="J32" s="4"/>
      <c r="K32" s="4">
        <v>204</v>
      </c>
      <c r="L32" s="4">
        <v>13</v>
      </c>
      <c r="M32" s="4">
        <v>3</v>
      </c>
      <c r="N32" s="4" t="s">
        <v>3</v>
      </c>
      <c r="O32" s="4">
        <v>0</v>
      </c>
      <c r="P32" s="4"/>
    </row>
    <row r="33" spans="1:16" x14ac:dyDescent="0.2">
      <c r="A33" s="4">
        <v>50</v>
      </c>
      <c r="B33" s="4">
        <v>0</v>
      </c>
      <c r="C33" s="4">
        <v>0</v>
      </c>
      <c r="D33" s="4">
        <v>1</v>
      </c>
      <c r="E33" s="4">
        <v>205</v>
      </c>
      <c r="F33" s="4">
        <v>43342</v>
      </c>
      <c r="G33" s="4" t="s">
        <v>113</v>
      </c>
      <c r="H33" s="4" t="s">
        <v>114</v>
      </c>
      <c r="I33" s="4"/>
      <c r="J33" s="4"/>
      <c r="K33" s="4">
        <v>205</v>
      </c>
      <c r="L33" s="4">
        <v>14</v>
      </c>
      <c r="M33" s="4">
        <v>3</v>
      </c>
      <c r="N33" s="4" t="s">
        <v>3</v>
      </c>
      <c r="O33" s="4">
        <v>0</v>
      </c>
      <c r="P33" s="4"/>
    </row>
    <row r="34" spans="1:16" x14ac:dyDescent="0.2">
      <c r="A34" s="4">
        <v>50</v>
      </c>
      <c r="B34" s="4">
        <v>0</v>
      </c>
      <c r="C34" s="4">
        <v>0</v>
      </c>
      <c r="D34" s="4">
        <v>1</v>
      </c>
      <c r="E34" s="4">
        <v>232</v>
      </c>
      <c r="F34" s="4">
        <v>0</v>
      </c>
      <c r="G34" s="4" t="s">
        <v>115</v>
      </c>
      <c r="H34" s="4" t="s">
        <v>116</v>
      </c>
      <c r="I34" s="4"/>
      <c r="J34" s="4"/>
      <c r="K34" s="4">
        <v>232</v>
      </c>
      <c r="L34" s="4">
        <v>15</v>
      </c>
      <c r="M34" s="4">
        <v>3</v>
      </c>
      <c r="N34" s="4" t="s">
        <v>3</v>
      </c>
      <c r="O34" s="4">
        <v>0</v>
      </c>
      <c r="P34" s="4"/>
    </row>
    <row r="35" spans="1:16" x14ac:dyDescent="0.2">
      <c r="A35" s="4">
        <v>50</v>
      </c>
      <c r="B35" s="4">
        <v>0</v>
      </c>
      <c r="C35" s="4">
        <v>0</v>
      </c>
      <c r="D35" s="4">
        <v>1</v>
      </c>
      <c r="E35" s="4">
        <v>214</v>
      </c>
      <c r="F35" s="4">
        <v>212735</v>
      </c>
      <c r="G35" s="4" t="s">
        <v>117</v>
      </c>
      <c r="H35" s="4" t="s">
        <v>118</v>
      </c>
      <c r="I35" s="4"/>
      <c r="J35" s="4"/>
      <c r="K35" s="4">
        <v>214</v>
      </c>
      <c r="L35" s="4">
        <v>16</v>
      </c>
      <c r="M35" s="4">
        <v>3</v>
      </c>
      <c r="N35" s="4" t="s">
        <v>3</v>
      </c>
      <c r="O35" s="4">
        <v>0</v>
      </c>
      <c r="P35" s="4"/>
    </row>
    <row r="36" spans="1:16" x14ac:dyDescent="0.2">
      <c r="A36" s="4">
        <v>50</v>
      </c>
      <c r="B36" s="4">
        <v>0</v>
      </c>
      <c r="C36" s="4">
        <v>0</v>
      </c>
      <c r="D36" s="4">
        <v>1</v>
      </c>
      <c r="E36" s="4">
        <v>215</v>
      </c>
      <c r="F36" s="4">
        <v>0</v>
      </c>
      <c r="G36" s="4" t="s">
        <v>119</v>
      </c>
      <c r="H36" s="4" t="s">
        <v>120</v>
      </c>
      <c r="I36" s="4"/>
      <c r="J36" s="4"/>
      <c r="K36" s="4">
        <v>215</v>
      </c>
      <c r="L36" s="4">
        <v>17</v>
      </c>
      <c r="M36" s="4">
        <v>3</v>
      </c>
      <c r="N36" s="4" t="s">
        <v>3</v>
      </c>
      <c r="O36" s="4">
        <v>0</v>
      </c>
      <c r="P36" s="4"/>
    </row>
    <row r="37" spans="1:16" x14ac:dyDescent="0.2">
      <c r="A37" s="4">
        <v>50</v>
      </c>
      <c r="B37" s="4">
        <v>0</v>
      </c>
      <c r="C37" s="4">
        <v>0</v>
      </c>
      <c r="D37" s="4">
        <v>1</v>
      </c>
      <c r="E37" s="4">
        <v>217</v>
      </c>
      <c r="F37" s="4">
        <v>0</v>
      </c>
      <c r="G37" s="4" t="s">
        <v>121</v>
      </c>
      <c r="H37" s="4" t="s">
        <v>122</v>
      </c>
      <c r="I37" s="4"/>
      <c r="J37" s="4"/>
      <c r="K37" s="4">
        <v>217</v>
      </c>
      <c r="L37" s="4">
        <v>18</v>
      </c>
      <c r="M37" s="4">
        <v>3</v>
      </c>
      <c r="N37" s="4" t="s">
        <v>3</v>
      </c>
      <c r="O37" s="4">
        <v>0</v>
      </c>
      <c r="P37" s="4"/>
    </row>
    <row r="38" spans="1:16" x14ac:dyDescent="0.2">
      <c r="A38" s="4">
        <v>50</v>
      </c>
      <c r="B38" s="4">
        <v>0</v>
      </c>
      <c r="C38" s="4">
        <v>0</v>
      </c>
      <c r="D38" s="4">
        <v>1</v>
      </c>
      <c r="E38" s="4">
        <v>230</v>
      </c>
      <c r="F38" s="4">
        <v>0</v>
      </c>
      <c r="G38" s="4" t="s">
        <v>123</v>
      </c>
      <c r="H38" s="4" t="s">
        <v>124</v>
      </c>
      <c r="I38" s="4"/>
      <c r="J38" s="4"/>
      <c r="K38" s="4">
        <v>230</v>
      </c>
      <c r="L38" s="4">
        <v>19</v>
      </c>
      <c r="M38" s="4">
        <v>3</v>
      </c>
      <c r="N38" s="4" t="s">
        <v>3</v>
      </c>
      <c r="O38" s="4">
        <v>0</v>
      </c>
      <c r="P38" s="4"/>
    </row>
    <row r="39" spans="1:16" x14ac:dyDescent="0.2">
      <c r="A39" s="4">
        <v>50</v>
      </c>
      <c r="B39" s="4">
        <v>0</v>
      </c>
      <c r="C39" s="4">
        <v>0</v>
      </c>
      <c r="D39" s="4">
        <v>1</v>
      </c>
      <c r="E39" s="4">
        <v>206</v>
      </c>
      <c r="F39" s="4">
        <v>0</v>
      </c>
      <c r="G39" s="4" t="s">
        <v>125</v>
      </c>
      <c r="H39" s="4" t="s">
        <v>126</v>
      </c>
      <c r="I39" s="4"/>
      <c r="J39" s="4"/>
      <c r="K39" s="4">
        <v>206</v>
      </c>
      <c r="L39" s="4">
        <v>20</v>
      </c>
      <c r="M39" s="4">
        <v>3</v>
      </c>
      <c r="N39" s="4" t="s">
        <v>3</v>
      </c>
      <c r="O39" s="4">
        <v>0</v>
      </c>
      <c r="P39" s="4"/>
    </row>
    <row r="40" spans="1:16" x14ac:dyDescent="0.2">
      <c r="A40" s="4">
        <v>50</v>
      </c>
      <c r="B40" s="4">
        <v>0</v>
      </c>
      <c r="C40" s="4">
        <v>0</v>
      </c>
      <c r="D40" s="4">
        <v>1</v>
      </c>
      <c r="E40" s="4">
        <v>207</v>
      </c>
      <c r="F40" s="4">
        <v>113.77800000000001</v>
      </c>
      <c r="G40" s="4" t="s">
        <v>127</v>
      </c>
      <c r="H40" s="4" t="s">
        <v>128</v>
      </c>
      <c r="I40" s="4"/>
      <c r="J40" s="4"/>
      <c r="K40" s="4">
        <v>207</v>
      </c>
      <c r="L40" s="4">
        <v>21</v>
      </c>
      <c r="M40" s="4">
        <v>3</v>
      </c>
      <c r="N40" s="4" t="s">
        <v>3</v>
      </c>
      <c r="O40" s="4">
        <v>-1</v>
      </c>
      <c r="P40" s="4"/>
    </row>
    <row r="41" spans="1:16" x14ac:dyDescent="0.2">
      <c r="A41" s="4">
        <v>50</v>
      </c>
      <c r="B41" s="4">
        <v>0</v>
      </c>
      <c r="C41" s="4">
        <v>0</v>
      </c>
      <c r="D41" s="4">
        <v>1</v>
      </c>
      <c r="E41" s="4">
        <v>208</v>
      </c>
      <c r="F41" s="4">
        <v>39.951599999999999</v>
      </c>
      <c r="G41" s="4" t="s">
        <v>129</v>
      </c>
      <c r="H41" s="4" t="s">
        <v>130</v>
      </c>
      <c r="I41" s="4"/>
      <c r="J41" s="4"/>
      <c r="K41" s="4">
        <v>208</v>
      </c>
      <c r="L41" s="4">
        <v>22</v>
      </c>
      <c r="M41" s="4">
        <v>3</v>
      </c>
      <c r="N41" s="4" t="s">
        <v>3</v>
      </c>
      <c r="O41" s="4">
        <v>-1</v>
      </c>
      <c r="P41" s="4"/>
    </row>
    <row r="42" spans="1:16" x14ac:dyDescent="0.2">
      <c r="A42" s="4">
        <v>50</v>
      </c>
      <c r="B42" s="4">
        <v>0</v>
      </c>
      <c r="C42" s="4">
        <v>0</v>
      </c>
      <c r="D42" s="4">
        <v>1</v>
      </c>
      <c r="E42" s="4">
        <v>209</v>
      </c>
      <c r="F42" s="4">
        <v>0</v>
      </c>
      <c r="G42" s="4" t="s">
        <v>131</v>
      </c>
      <c r="H42" s="4" t="s">
        <v>132</v>
      </c>
      <c r="I42" s="4"/>
      <c r="J42" s="4"/>
      <c r="K42" s="4">
        <v>209</v>
      </c>
      <c r="L42" s="4">
        <v>23</v>
      </c>
      <c r="M42" s="4">
        <v>3</v>
      </c>
      <c r="N42" s="4" t="s">
        <v>3</v>
      </c>
      <c r="O42" s="4">
        <v>0</v>
      </c>
      <c r="P42" s="4"/>
    </row>
    <row r="43" spans="1:16" x14ac:dyDescent="0.2">
      <c r="A43" s="4">
        <v>50</v>
      </c>
      <c r="B43" s="4">
        <v>0</v>
      </c>
      <c r="C43" s="4">
        <v>0</v>
      </c>
      <c r="D43" s="4">
        <v>1</v>
      </c>
      <c r="E43" s="4">
        <v>233</v>
      </c>
      <c r="F43" s="4">
        <v>1970</v>
      </c>
      <c r="G43" s="4" t="s">
        <v>133</v>
      </c>
      <c r="H43" s="4" t="s">
        <v>134</v>
      </c>
      <c r="I43" s="4"/>
      <c r="J43" s="4"/>
      <c r="K43" s="4">
        <v>233</v>
      </c>
      <c r="L43" s="4">
        <v>24</v>
      </c>
      <c r="M43" s="4">
        <v>3</v>
      </c>
      <c r="N43" s="4" t="s">
        <v>3</v>
      </c>
      <c r="O43" s="4">
        <v>0</v>
      </c>
      <c r="P43" s="4"/>
    </row>
    <row r="44" spans="1:16" x14ac:dyDescent="0.2">
      <c r="A44" s="4">
        <v>50</v>
      </c>
      <c r="B44" s="4">
        <v>0</v>
      </c>
      <c r="C44" s="4">
        <v>0</v>
      </c>
      <c r="D44" s="4">
        <v>1</v>
      </c>
      <c r="E44" s="4">
        <v>210</v>
      </c>
      <c r="F44" s="4">
        <v>59490</v>
      </c>
      <c r="G44" s="4" t="s">
        <v>135</v>
      </c>
      <c r="H44" s="4" t="s">
        <v>136</v>
      </c>
      <c r="I44" s="4"/>
      <c r="J44" s="4"/>
      <c r="K44" s="4">
        <v>210</v>
      </c>
      <c r="L44" s="4">
        <v>25</v>
      </c>
      <c r="M44" s="4">
        <v>3</v>
      </c>
      <c r="N44" s="4" t="s">
        <v>3</v>
      </c>
      <c r="O44" s="4">
        <v>0</v>
      </c>
      <c r="P44" s="4"/>
    </row>
    <row r="45" spans="1:16" x14ac:dyDescent="0.2">
      <c r="A45" s="4">
        <v>50</v>
      </c>
      <c r="B45" s="4">
        <v>0</v>
      </c>
      <c r="C45" s="4">
        <v>0</v>
      </c>
      <c r="D45" s="4">
        <v>1</v>
      </c>
      <c r="E45" s="4">
        <v>211</v>
      </c>
      <c r="F45" s="4">
        <v>39528</v>
      </c>
      <c r="G45" s="4" t="s">
        <v>137</v>
      </c>
      <c r="H45" s="4" t="s">
        <v>138</v>
      </c>
      <c r="I45" s="4"/>
      <c r="J45" s="4"/>
      <c r="K45" s="4">
        <v>211</v>
      </c>
      <c r="L45" s="4">
        <v>26</v>
      </c>
      <c r="M45" s="4">
        <v>3</v>
      </c>
      <c r="N45" s="4" t="s">
        <v>3</v>
      </c>
      <c r="O45" s="4">
        <v>0</v>
      </c>
      <c r="P45" s="4"/>
    </row>
    <row r="46" spans="1:16" x14ac:dyDescent="0.2">
      <c r="A46" s="4">
        <v>50</v>
      </c>
      <c r="B46" s="4">
        <v>0</v>
      </c>
      <c r="C46" s="4">
        <v>0</v>
      </c>
      <c r="D46" s="4">
        <v>1</v>
      </c>
      <c r="E46" s="4">
        <v>224</v>
      </c>
      <c r="F46" s="4">
        <v>212735</v>
      </c>
      <c r="G46" s="4" t="s">
        <v>139</v>
      </c>
      <c r="H46" s="4" t="s">
        <v>140</v>
      </c>
      <c r="I46" s="4"/>
      <c r="J46" s="4"/>
      <c r="K46" s="4">
        <v>224</v>
      </c>
      <c r="L46" s="4">
        <v>27</v>
      </c>
      <c r="M46" s="4">
        <v>3</v>
      </c>
      <c r="N46" s="4" t="s">
        <v>3</v>
      </c>
      <c r="O46" s="4">
        <v>0</v>
      </c>
      <c r="P46" s="4"/>
    </row>
    <row r="48" spans="1:16" x14ac:dyDescent="0.2">
      <c r="A48">
        <v>-1</v>
      </c>
    </row>
    <row r="51" spans="1:40" x14ac:dyDescent="0.2">
      <c r="A51" s="3">
        <v>75</v>
      </c>
      <c r="B51" s="3" t="s">
        <v>204</v>
      </c>
      <c r="C51" s="3">
        <v>2026</v>
      </c>
      <c r="D51" s="3">
        <v>0</v>
      </c>
      <c r="E51" s="3">
        <v>2</v>
      </c>
      <c r="F51" s="3">
        <v>0</v>
      </c>
      <c r="G51" s="3">
        <v>0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60563954</v>
      </c>
      <c r="O51" s="3">
        <v>1</v>
      </c>
    </row>
    <row r="52" spans="1:40" x14ac:dyDescent="0.2">
      <c r="A52" s="5">
        <v>3</v>
      </c>
      <c r="B52" s="5" t="s">
        <v>205</v>
      </c>
      <c r="C52" s="5">
        <v>1</v>
      </c>
      <c r="D52" s="5">
        <v>10.19</v>
      </c>
      <c r="E52" s="5">
        <v>14.28</v>
      </c>
      <c r="F52" s="5">
        <v>37.299999999999997</v>
      </c>
      <c r="G52" s="5">
        <v>37.299999999999997</v>
      </c>
      <c r="H52" s="5">
        <v>1</v>
      </c>
      <c r="I52" s="5">
        <v>1</v>
      </c>
      <c r="J52" s="5">
        <v>2</v>
      </c>
      <c r="K52" s="5">
        <v>1</v>
      </c>
      <c r="L52" s="5">
        <v>14.38</v>
      </c>
      <c r="M52" s="5">
        <v>1</v>
      </c>
      <c r="N52" s="5">
        <v>10.19</v>
      </c>
      <c r="O52" s="5">
        <v>1</v>
      </c>
      <c r="P52" s="5">
        <v>1</v>
      </c>
      <c r="Q52" s="5">
        <v>1</v>
      </c>
      <c r="R52" s="5">
        <v>14.38</v>
      </c>
      <c r="S52" s="5" t="s">
        <v>3</v>
      </c>
      <c r="T52" s="5" t="s">
        <v>3</v>
      </c>
      <c r="U52" s="5" t="s">
        <v>3</v>
      </c>
      <c r="V52" s="5" t="s">
        <v>3</v>
      </c>
      <c r="W52" s="5" t="s">
        <v>3</v>
      </c>
      <c r="X52" s="5" t="s">
        <v>3</v>
      </c>
      <c r="Y52" s="5" t="s">
        <v>3</v>
      </c>
      <c r="Z52" s="5" t="s">
        <v>3</v>
      </c>
      <c r="AA52" s="5" t="s">
        <v>3</v>
      </c>
      <c r="AB52" s="5" t="s">
        <v>3</v>
      </c>
      <c r="AC52" s="5" t="s">
        <v>3</v>
      </c>
      <c r="AD52" s="5" t="s">
        <v>3</v>
      </c>
      <c r="AE52" s="5" t="s">
        <v>3</v>
      </c>
      <c r="AF52" s="5" t="s">
        <v>3</v>
      </c>
      <c r="AG52" s="5" t="s">
        <v>3</v>
      </c>
      <c r="AH52" s="5" t="s">
        <v>3</v>
      </c>
      <c r="AI52" s="5"/>
      <c r="AJ52" s="5"/>
      <c r="AK52" s="5"/>
      <c r="AL52" s="5"/>
      <c r="AM52" s="5"/>
      <c r="AN52" s="5">
        <v>60563955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O7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ROW(Source!A24)</f>
        <v>24</v>
      </c>
      <c r="B1">
        <v>60563954</v>
      </c>
      <c r="C1">
        <v>60564155</v>
      </c>
      <c r="D1">
        <v>44870854</v>
      </c>
      <c r="E1">
        <v>70</v>
      </c>
      <c r="F1">
        <v>1</v>
      </c>
      <c r="G1">
        <v>1</v>
      </c>
      <c r="H1">
        <v>1</v>
      </c>
      <c r="I1" t="s">
        <v>207</v>
      </c>
      <c r="J1" t="s">
        <v>3</v>
      </c>
      <c r="K1" t="s">
        <v>208</v>
      </c>
      <c r="L1">
        <v>1191</v>
      </c>
      <c r="N1">
        <v>1013</v>
      </c>
      <c r="O1" t="s">
        <v>209</v>
      </c>
      <c r="P1" t="s">
        <v>209</v>
      </c>
      <c r="Q1">
        <v>1</v>
      </c>
      <c r="W1">
        <v>0</v>
      </c>
      <c r="X1">
        <v>-983457869</v>
      </c>
      <c r="Y1">
        <f t="shared" ref="Y1:Y6" si="0">AT1</f>
        <v>65.2</v>
      </c>
      <c r="AA1">
        <v>0</v>
      </c>
      <c r="AB1">
        <v>0</v>
      </c>
      <c r="AC1">
        <v>0</v>
      </c>
      <c r="AD1">
        <v>322.27</v>
      </c>
      <c r="AE1">
        <v>0</v>
      </c>
      <c r="AF1">
        <v>0</v>
      </c>
      <c r="AG1">
        <v>0</v>
      </c>
      <c r="AH1">
        <v>8.64</v>
      </c>
      <c r="AI1">
        <v>1</v>
      </c>
      <c r="AJ1">
        <v>1</v>
      </c>
      <c r="AK1">
        <v>1</v>
      </c>
      <c r="AL1">
        <v>37.299999999999997</v>
      </c>
      <c r="AM1">
        <v>4</v>
      </c>
      <c r="AN1">
        <v>0</v>
      </c>
      <c r="AO1">
        <v>1</v>
      </c>
      <c r="AP1">
        <v>1</v>
      </c>
      <c r="AQ1">
        <v>0</v>
      </c>
      <c r="AR1">
        <v>0</v>
      </c>
      <c r="AS1" t="s">
        <v>3</v>
      </c>
      <c r="AT1">
        <v>65.2</v>
      </c>
      <c r="AU1" t="s">
        <v>3</v>
      </c>
      <c r="AV1">
        <v>1</v>
      </c>
      <c r="AW1">
        <v>2</v>
      </c>
      <c r="AX1">
        <v>60564156</v>
      </c>
      <c r="AY1">
        <v>1</v>
      </c>
      <c r="AZ1">
        <v>0</v>
      </c>
      <c r="BA1">
        <v>1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U1">
        <f>ROUND(AT1*Source!I24*AH1*AL1,0)</f>
        <v>525</v>
      </c>
      <c r="CV1">
        <f>ROUND(Y1*Source!I24,7)</f>
        <v>1.63</v>
      </c>
      <c r="CW1">
        <v>0</v>
      </c>
      <c r="CX1">
        <f>ROUND(Y1*Source!I24,7)</f>
        <v>1.63</v>
      </c>
      <c r="CY1">
        <f>AD1</f>
        <v>322.27</v>
      </c>
      <c r="CZ1">
        <f>AH1</f>
        <v>8.64</v>
      </c>
      <c r="DA1">
        <f>AL1</f>
        <v>37.299999999999997</v>
      </c>
      <c r="DB1">
        <f t="shared" ref="DB1:DB6" si="1">ROUND(ROUND(AT1*CZ1,2),2)</f>
        <v>563.33000000000004</v>
      </c>
      <c r="DC1">
        <f t="shared" ref="DC1:DC6" si="2">ROUND(ROUND(AT1*AG1,2),2)</f>
        <v>0</v>
      </c>
      <c r="DD1" t="s">
        <v>3</v>
      </c>
      <c r="DE1" t="s">
        <v>3</v>
      </c>
      <c r="DF1">
        <f>ROUND(ROUND(AE1,0)*CX1,0)</f>
        <v>0</v>
      </c>
      <c r="DG1">
        <f>ROUND(ROUND(AF1,0)*CX1,0)</f>
        <v>0</v>
      </c>
      <c r="DH1">
        <f>ROUND(ROUND(AG1,0)*CX1,0)</f>
        <v>0</v>
      </c>
      <c r="DI1">
        <f>ROUND(ROUND(AH1*AL1,0)*CX1,0)</f>
        <v>525</v>
      </c>
      <c r="DJ1">
        <f>DI1</f>
        <v>525</v>
      </c>
      <c r="DK1">
        <v>0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ROW(Source!A24)</f>
        <v>24</v>
      </c>
      <c r="B2">
        <v>60563954</v>
      </c>
      <c r="C2">
        <v>60564155</v>
      </c>
      <c r="D2">
        <v>44871042</v>
      </c>
      <c r="E2">
        <v>70</v>
      </c>
      <c r="F2">
        <v>1</v>
      </c>
      <c r="G2">
        <v>1</v>
      </c>
      <c r="H2">
        <v>1</v>
      </c>
      <c r="I2" t="s">
        <v>210</v>
      </c>
      <c r="J2" t="s">
        <v>3</v>
      </c>
      <c r="K2" t="s">
        <v>211</v>
      </c>
      <c r="L2">
        <v>1191</v>
      </c>
      <c r="N2">
        <v>1013</v>
      </c>
      <c r="O2" t="s">
        <v>209</v>
      </c>
      <c r="P2" t="s">
        <v>209</v>
      </c>
      <c r="Q2">
        <v>1</v>
      </c>
      <c r="W2">
        <v>0</v>
      </c>
      <c r="X2">
        <v>-1417349443</v>
      </c>
      <c r="Y2">
        <f t="shared" si="0"/>
        <v>0.08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37.299999999999997</v>
      </c>
      <c r="AL2">
        <v>1</v>
      </c>
      <c r="AM2">
        <v>4</v>
      </c>
      <c r="AN2">
        <v>0</v>
      </c>
      <c r="AO2">
        <v>1</v>
      </c>
      <c r="AP2">
        <v>1</v>
      </c>
      <c r="AQ2">
        <v>0</v>
      </c>
      <c r="AR2">
        <v>0</v>
      </c>
      <c r="AS2" t="s">
        <v>3</v>
      </c>
      <c r="AT2">
        <v>0.08</v>
      </c>
      <c r="AU2" t="s">
        <v>3</v>
      </c>
      <c r="AV2">
        <v>2</v>
      </c>
      <c r="AW2">
        <v>2</v>
      </c>
      <c r="AX2">
        <v>60564157</v>
      </c>
      <c r="AY2">
        <v>1</v>
      </c>
      <c r="AZ2">
        <v>0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ROUND(Y2*Source!I24,7)</f>
        <v>2E-3</v>
      </c>
      <c r="CY2">
        <f>AD2</f>
        <v>0</v>
      </c>
      <c r="CZ2">
        <f>AH2</f>
        <v>0</v>
      </c>
      <c r="DA2">
        <f>AL2</f>
        <v>1</v>
      </c>
      <c r="DB2">
        <f t="shared" si="1"/>
        <v>0</v>
      </c>
      <c r="DC2">
        <f t="shared" si="2"/>
        <v>0</v>
      </c>
      <c r="DD2" t="s">
        <v>3</v>
      </c>
      <c r="DE2" t="s">
        <v>3</v>
      </c>
      <c r="DF2">
        <f>ROUND(ROUND(AE2,0)*CX2,0)</f>
        <v>0</v>
      </c>
      <c r="DG2">
        <f>ROUND(ROUND(AF2,0)*CX2,0)</f>
        <v>0</v>
      </c>
      <c r="DH2">
        <f>ROUND(ROUND(AG2*AK2,0)*CX2,0)</f>
        <v>0</v>
      </c>
      <c r="DI2">
        <f>ROUND(ROUND(AH2,0)*CX2,0)</f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ROW(Source!A24)</f>
        <v>24</v>
      </c>
      <c r="B3">
        <v>60563954</v>
      </c>
      <c r="C3">
        <v>60564155</v>
      </c>
      <c r="D3">
        <v>45033637</v>
      </c>
      <c r="E3">
        <v>1</v>
      </c>
      <c r="F3">
        <v>1</v>
      </c>
      <c r="G3">
        <v>1</v>
      </c>
      <c r="H3">
        <v>2</v>
      </c>
      <c r="I3" t="s">
        <v>212</v>
      </c>
      <c r="J3" t="s">
        <v>213</v>
      </c>
      <c r="K3" t="s">
        <v>214</v>
      </c>
      <c r="L3">
        <v>1367</v>
      </c>
      <c r="N3">
        <v>1011</v>
      </c>
      <c r="O3" t="s">
        <v>215</v>
      </c>
      <c r="P3" t="s">
        <v>215</v>
      </c>
      <c r="Q3">
        <v>1</v>
      </c>
      <c r="W3">
        <v>0</v>
      </c>
      <c r="X3">
        <v>509054691</v>
      </c>
      <c r="Y3">
        <f t="shared" si="0"/>
        <v>0.08</v>
      </c>
      <c r="AA3">
        <v>0</v>
      </c>
      <c r="AB3">
        <v>938.34</v>
      </c>
      <c r="AC3">
        <v>432.68</v>
      </c>
      <c r="AD3">
        <v>0</v>
      </c>
      <c r="AE3">
        <v>0</v>
      </c>
      <c r="AF3">
        <v>65.709999999999994</v>
      </c>
      <c r="AG3">
        <v>11.6</v>
      </c>
      <c r="AH3">
        <v>0</v>
      </c>
      <c r="AI3">
        <v>1</v>
      </c>
      <c r="AJ3">
        <v>14.28</v>
      </c>
      <c r="AK3">
        <v>37.299999999999997</v>
      </c>
      <c r="AL3">
        <v>1</v>
      </c>
      <c r="AM3">
        <v>4</v>
      </c>
      <c r="AN3">
        <v>0</v>
      </c>
      <c r="AO3">
        <v>1</v>
      </c>
      <c r="AP3">
        <v>1</v>
      </c>
      <c r="AQ3">
        <v>0</v>
      </c>
      <c r="AR3">
        <v>0</v>
      </c>
      <c r="AS3" t="s">
        <v>3</v>
      </c>
      <c r="AT3">
        <v>0.08</v>
      </c>
      <c r="AU3" t="s">
        <v>3</v>
      </c>
      <c r="AV3">
        <v>0</v>
      </c>
      <c r="AW3">
        <v>2</v>
      </c>
      <c r="AX3">
        <v>60564158</v>
      </c>
      <c r="AY3">
        <v>1</v>
      </c>
      <c r="AZ3">
        <v>0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V3">
        <v>0</v>
      </c>
      <c r="CW3">
        <f>ROUND(Y3*Source!I24*DO3,7)</f>
        <v>0</v>
      </c>
      <c r="CX3">
        <f>ROUND(Y3*Source!I24,7)</f>
        <v>2E-3</v>
      </c>
      <c r="CY3">
        <f>AB3</f>
        <v>938.34</v>
      </c>
      <c r="CZ3">
        <f>AF3</f>
        <v>65.709999999999994</v>
      </c>
      <c r="DA3">
        <f>AJ3</f>
        <v>14.28</v>
      </c>
      <c r="DB3">
        <f t="shared" si="1"/>
        <v>5.26</v>
      </c>
      <c r="DC3">
        <f t="shared" si="2"/>
        <v>0.93</v>
      </c>
      <c r="DD3" t="s">
        <v>3</v>
      </c>
      <c r="DE3" t="s">
        <v>3</v>
      </c>
      <c r="DF3">
        <f>ROUND(ROUND(AE3,0)*CX3,0)</f>
        <v>0</v>
      </c>
      <c r="DG3">
        <f>ROUND(ROUND(AF3*AJ3,0)*CX3,0)</f>
        <v>2</v>
      </c>
      <c r="DH3">
        <f>ROUND(ROUND(AG3*AK3,0)*CX3,0)</f>
        <v>1</v>
      </c>
      <c r="DI3">
        <f>ROUND(ROUND(AH3,0)*CX3,0)</f>
        <v>0</v>
      </c>
      <c r="DJ3">
        <f>DG3</f>
        <v>2</v>
      </c>
      <c r="DK3">
        <v>0</v>
      </c>
      <c r="DL3" t="s">
        <v>3</v>
      </c>
      <c r="DM3">
        <v>0</v>
      </c>
      <c r="DN3" t="s">
        <v>3</v>
      </c>
      <c r="DO3">
        <v>0</v>
      </c>
    </row>
    <row r="4" spans="1:119" x14ac:dyDescent="0.2">
      <c r="A4">
        <f>ROW(Source!A24)</f>
        <v>24</v>
      </c>
      <c r="B4">
        <v>60563954</v>
      </c>
      <c r="C4">
        <v>60564155</v>
      </c>
      <c r="D4">
        <v>44886172</v>
      </c>
      <c r="E4">
        <v>1</v>
      </c>
      <c r="F4">
        <v>1</v>
      </c>
      <c r="G4">
        <v>1</v>
      </c>
      <c r="H4">
        <v>3</v>
      </c>
      <c r="I4" t="s">
        <v>216</v>
      </c>
      <c r="J4" t="s">
        <v>217</v>
      </c>
      <c r="K4" t="s">
        <v>218</v>
      </c>
      <c r="L4">
        <v>1339</v>
      </c>
      <c r="N4">
        <v>1007</v>
      </c>
      <c r="O4" t="s">
        <v>219</v>
      </c>
      <c r="P4" t="s">
        <v>219</v>
      </c>
      <c r="Q4">
        <v>1</v>
      </c>
      <c r="W4">
        <v>0</v>
      </c>
      <c r="X4">
        <v>793530824</v>
      </c>
      <c r="Y4">
        <f t="shared" si="0"/>
        <v>8.9999999999999993E-3</v>
      </c>
      <c r="AA4">
        <v>11209</v>
      </c>
      <c r="AB4">
        <v>0</v>
      </c>
      <c r="AC4">
        <v>0</v>
      </c>
      <c r="AD4">
        <v>0</v>
      </c>
      <c r="AE4">
        <v>1100</v>
      </c>
      <c r="AF4">
        <v>0</v>
      </c>
      <c r="AG4">
        <v>0</v>
      </c>
      <c r="AH4">
        <v>0</v>
      </c>
      <c r="AI4">
        <v>10.19</v>
      </c>
      <c r="AJ4">
        <v>1</v>
      </c>
      <c r="AK4">
        <v>1</v>
      </c>
      <c r="AL4">
        <v>1</v>
      </c>
      <c r="AM4">
        <v>4</v>
      </c>
      <c r="AN4">
        <v>0</v>
      </c>
      <c r="AO4">
        <v>1</v>
      </c>
      <c r="AP4">
        <v>1</v>
      </c>
      <c r="AQ4">
        <v>0</v>
      </c>
      <c r="AR4">
        <v>0</v>
      </c>
      <c r="AS4" t="s">
        <v>3</v>
      </c>
      <c r="AT4">
        <v>8.9999999999999993E-3</v>
      </c>
      <c r="AU4" t="s">
        <v>3</v>
      </c>
      <c r="AV4">
        <v>0</v>
      </c>
      <c r="AW4">
        <v>2</v>
      </c>
      <c r="AX4">
        <v>60564159</v>
      </c>
      <c r="AY4">
        <v>1</v>
      </c>
      <c r="AZ4">
        <v>0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V4">
        <v>0</v>
      </c>
      <c r="CW4">
        <v>0</v>
      </c>
      <c r="CX4">
        <f>ROUND(Y4*Source!I24,7)</f>
        <v>2.2499999999999999E-4</v>
      </c>
      <c r="CY4">
        <f>AA4</f>
        <v>11209</v>
      </c>
      <c r="CZ4">
        <f>AE4</f>
        <v>1100</v>
      </c>
      <c r="DA4">
        <f>AI4</f>
        <v>10.19</v>
      </c>
      <c r="DB4">
        <f t="shared" si="1"/>
        <v>9.9</v>
      </c>
      <c r="DC4">
        <f t="shared" si="2"/>
        <v>0</v>
      </c>
      <c r="DD4" t="s">
        <v>3</v>
      </c>
      <c r="DE4" t="s">
        <v>3</v>
      </c>
      <c r="DF4">
        <f>ROUND(ROUND(AE4*AI4,0)*CX4,0)</f>
        <v>3</v>
      </c>
      <c r="DG4">
        <f t="shared" ref="DG4:DG9" si="3">ROUND(ROUND(AF4,0)*CX4,0)</f>
        <v>0</v>
      </c>
      <c r="DH4">
        <f>ROUND(ROUND(AG4,0)*CX4,0)</f>
        <v>0</v>
      </c>
      <c r="DI4">
        <f>ROUND(ROUND(AH4,0)*CX4,0)</f>
        <v>0</v>
      </c>
      <c r="DJ4">
        <f>DF4</f>
        <v>3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ROW(Source!A24)</f>
        <v>24</v>
      </c>
      <c r="B5">
        <v>60563954</v>
      </c>
      <c r="C5">
        <v>60564155</v>
      </c>
      <c r="D5">
        <v>44886174</v>
      </c>
      <c r="E5">
        <v>1</v>
      </c>
      <c r="F5">
        <v>1</v>
      </c>
      <c r="G5">
        <v>1</v>
      </c>
      <c r="H5">
        <v>3</v>
      </c>
      <c r="I5" t="s">
        <v>220</v>
      </c>
      <c r="J5" t="s">
        <v>221</v>
      </c>
      <c r="K5" t="s">
        <v>222</v>
      </c>
      <c r="L5">
        <v>1348</v>
      </c>
      <c r="N5">
        <v>1009</v>
      </c>
      <c r="O5" t="s">
        <v>32</v>
      </c>
      <c r="P5" t="s">
        <v>32</v>
      </c>
      <c r="Q5">
        <v>1000</v>
      </c>
      <c r="W5">
        <v>0</v>
      </c>
      <c r="X5">
        <v>-322404577</v>
      </c>
      <c r="Y5">
        <f t="shared" si="0"/>
        <v>4.3999999999999997E-2</v>
      </c>
      <c r="AA5">
        <v>62179.38</v>
      </c>
      <c r="AB5">
        <v>0</v>
      </c>
      <c r="AC5">
        <v>0</v>
      </c>
      <c r="AD5">
        <v>0</v>
      </c>
      <c r="AE5">
        <v>6102</v>
      </c>
      <c r="AF5">
        <v>0</v>
      </c>
      <c r="AG5">
        <v>0</v>
      </c>
      <c r="AH5">
        <v>0</v>
      </c>
      <c r="AI5">
        <v>10.19</v>
      </c>
      <c r="AJ5">
        <v>1</v>
      </c>
      <c r="AK5">
        <v>1</v>
      </c>
      <c r="AL5">
        <v>1</v>
      </c>
      <c r="AM5">
        <v>4</v>
      </c>
      <c r="AN5">
        <v>0</v>
      </c>
      <c r="AO5">
        <v>1</v>
      </c>
      <c r="AP5">
        <v>1</v>
      </c>
      <c r="AQ5">
        <v>0</v>
      </c>
      <c r="AR5">
        <v>0</v>
      </c>
      <c r="AS5" t="s">
        <v>3</v>
      </c>
      <c r="AT5">
        <v>4.3999999999999997E-2</v>
      </c>
      <c r="AU5" t="s">
        <v>3</v>
      </c>
      <c r="AV5">
        <v>0</v>
      </c>
      <c r="AW5">
        <v>2</v>
      </c>
      <c r="AX5">
        <v>60564160</v>
      </c>
      <c r="AY5">
        <v>1</v>
      </c>
      <c r="AZ5">
        <v>0</v>
      </c>
      <c r="BA5">
        <v>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V5">
        <v>0</v>
      </c>
      <c r="CW5">
        <v>0</v>
      </c>
      <c r="CX5">
        <f>ROUND(Y5*Source!I24,7)</f>
        <v>1.1000000000000001E-3</v>
      </c>
      <c r="CY5">
        <f>AA5</f>
        <v>62179.38</v>
      </c>
      <c r="CZ5">
        <f>AE5</f>
        <v>6102</v>
      </c>
      <c r="DA5">
        <f>AI5</f>
        <v>10.19</v>
      </c>
      <c r="DB5">
        <f t="shared" si="1"/>
        <v>268.49</v>
      </c>
      <c r="DC5">
        <f t="shared" si="2"/>
        <v>0</v>
      </c>
      <c r="DD5" t="s">
        <v>3</v>
      </c>
      <c r="DE5" t="s">
        <v>3</v>
      </c>
      <c r="DF5">
        <f>ROUND(ROUND(AE5*AI5,0)*CX5,0)</f>
        <v>68</v>
      </c>
      <c r="DG5">
        <f t="shared" si="3"/>
        <v>0</v>
      </c>
      <c r="DH5">
        <f>ROUND(ROUND(AG5,0)*CX5,0)</f>
        <v>0</v>
      </c>
      <c r="DI5">
        <f>ROUND(ROUND(AH5,0)*CX5,0)</f>
        <v>0</v>
      </c>
      <c r="DJ5">
        <f>DF5</f>
        <v>68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ROW(Source!A24)</f>
        <v>24</v>
      </c>
      <c r="B6">
        <v>60563954</v>
      </c>
      <c r="C6">
        <v>60564155</v>
      </c>
      <c r="D6">
        <v>44908194</v>
      </c>
      <c r="E6">
        <v>1</v>
      </c>
      <c r="F6">
        <v>1</v>
      </c>
      <c r="G6">
        <v>1</v>
      </c>
      <c r="H6">
        <v>3</v>
      </c>
      <c r="I6" t="s">
        <v>223</v>
      </c>
      <c r="J6" t="s">
        <v>224</v>
      </c>
      <c r="K6" t="s">
        <v>225</v>
      </c>
      <c r="L6">
        <v>1327</v>
      </c>
      <c r="N6">
        <v>1005</v>
      </c>
      <c r="O6" t="s">
        <v>226</v>
      </c>
      <c r="P6" t="s">
        <v>226</v>
      </c>
      <c r="Q6">
        <v>1</v>
      </c>
      <c r="W6">
        <v>0</v>
      </c>
      <c r="X6">
        <v>-1971970762</v>
      </c>
      <c r="Y6">
        <f t="shared" si="0"/>
        <v>1.9</v>
      </c>
      <c r="AA6">
        <v>358.89</v>
      </c>
      <c r="AB6">
        <v>0</v>
      </c>
      <c r="AC6">
        <v>0</v>
      </c>
      <c r="AD6">
        <v>0</v>
      </c>
      <c r="AE6">
        <v>35.22</v>
      </c>
      <c r="AF6">
        <v>0</v>
      </c>
      <c r="AG6">
        <v>0</v>
      </c>
      <c r="AH6">
        <v>0</v>
      </c>
      <c r="AI6">
        <v>10.19</v>
      </c>
      <c r="AJ6">
        <v>1</v>
      </c>
      <c r="AK6">
        <v>1</v>
      </c>
      <c r="AL6">
        <v>1</v>
      </c>
      <c r="AM6">
        <v>4</v>
      </c>
      <c r="AN6">
        <v>0</v>
      </c>
      <c r="AO6">
        <v>1</v>
      </c>
      <c r="AP6">
        <v>1</v>
      </c>
      <c r="AQ6">
        <v>0</v>
      </c>
      <c r="AR6">
        <v>0</v>
      </c>
      <c r="AS6" t="s">
        <v>3</v>
      </c>
      <c r="AT6">
        <v>1.9</v>
      </c>
      <c r="AU6" t="s">
        <v>3</v>
      </c>
      <c r="AV6">
        <v>0</v>
      </c>
      <c r="AW6">
        <v>2</v>
      </c>
      <c r="AX6">
        <v>60564161</v>
      </c>
      <c r="AY6">
        <v>1</v>
      </c>
      <c r="AZ6">
        <v>0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v>0</v>
      </c>
      <c r="CX6">
        <f>ROUND(Y6*Source!I24,7)</f>
        <v>4.7500000000000001E-2</v>
      </c>
      <c r="CY6">
        <f>AA6</f>
        <v>358.89</v>
      </c>
      <c r="CZ6">
        <f>AE6</f>
        <v>35.22</v>
      </c>
      <c r="DA6">
        <f>AI6</f>
        <v>10.19</v>
      </c>
      <c r="DB6">
        <f t="shared" si="1"/>
        <v>66.92</v>
      </c>
      <c r="DC6">
        <f t="shared" si="2"/>
        <v>0</v>
      </c>
      <c r="DD6" t="s">
        <v>3</v>
      </c>
      <c r="DE6" t="s">
        <v>3</v>
      </c>
      <c r="DF6">
        <f>ROUND(ROUND(AE6*AI6,0)*CX6,0)</f>
        <v>17</v>
      </c>
      <c r="DG6">
        <f t="shared" si="3"/>
        <v>0</v>
      </c>
      <c r="DH6">
        <f>ROUND(ROUND(AG6,0)*CX6,0)</f>
        <v>0</v>
      </c>
      <c r="DI6">
        <f>ROUND(ROUND(AH6,0)*CX6,0)</f>
        <v>0</v>
      </c>
      <c r="DJ6">
        <f>DF6</f>
        <v>17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ROW(Source!A25)</f>
        <v>25</v>
      </c>
      <c r="B7">
        <v>60563954</v>
      </c>
      <c r="C7">
        <v>60564162</v>
      </c>
      <c r="D7">
        <v>44870854</v>
      </c>
      <c r="E7">
        <v>70</v>
      </c>
      <c r="F7">
        <v>1</v>
      </c>
      <c r="G7">
        <v>1</v>
      </c>
      <c r="H7">
        <v>1</v>
      </c>
      <c r="I7" t="s">
        <v>207</v>
      </c>
      <c r="J7" t="s">
        <v>3</v>
      </c>
      <c r="K7" t="s">
        <v>208</v>
      </c>
      <c r="L7">
        <v>1191</v>
      </c>
      <c r="N7">
        <v>1013</v>
      </c>
      <c r="O7" t="s">
        <v>209</v>
      </c>
      <c r="P7" t="s">
        <v>209</v>
      </c>
      <c r="Q7">
        <v>1</v>
      </c>
      <c r="W7">
        <v>0</v>
      </c>
      <c r="X7">
        <v>-983457869</v>
      </c>
      <c r="Y7">
        <f>(AT7*ROUND(2,7))</f>
        <v>13.2</v>
      </c>
      <c r="AA7">
        <v>0</v>
      </c>
      <c r="AB7">
        <v>0</v>
      </c>
      <c r="AC7">
        <v>0</v>
      </c>
      <c r="AD7">
        <v>322.27</v>
      </c>
      <c r="AE7">
        <v>0</v>
      </c>
      <c r="AF7">
        <v>0</v>
      </c>
      <c r="AG7">
        <v>0</v>
      </c>
      <c r="AH7">
        <v>8.64</v>
      </c>
      <c r="AI7">
        <v>1</v>
      </c>
      <c r="AJ7">
        <v>1</v>
      </c>
      <c r="AK7">
        <v>1</v>
      </c>
      <c r="AL7">
        <v>37.299999999999997</v>
      </c>
      <c r="AM7">
        <v>4</v>
      </c>
      <c r="AN7">
        <v>0</v>
      </c>
      <c r="AO7">
        <v>1</v>
      </c>
      <c r="AP7">
        <v>1</v>
      </c>
      <c r="AQ7">
        <v>0</v>
      </c>
      <c r="AR7">
        <v>0</v>
      </c>
      <c r="AS7" t="s">
        <v>3</v>
      </c>
      <c r="AT7">
        <v>6.6</v>
      </c>
      <c r="AU7" t="s">
        <v>28</v>
      </c>
      <c r="AV7">
        <v>1</v>
      </c>
      <c r="AW7">
        <v>2</v>
      </c>
      <c r="AX7">
        <v>60564165</v>
      </c>
      <c r="AY7">
        <v>1</v>
      </c>
      <c r="AZ7">
        <v>0</v>
      </c>
      <c r="BA7">
        <v>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U7">
        <f>ROUND(AT7*Source!I25*AH7*AL7,0)</f>
        <v>53</v>
      </c>
      <c r="CV7">
        <f>ROUND(Y7*Source!I25,7)</f>
        <v>0.33</v>
      </c>
      <c r="CW7">
        <v>0</v>
      </c>
      <c r="CX7">
        <f>ROUND(Y7*Source!I25,7)</f>
        <v>0.33</v>
      </c>
      <c r="CY7">
        <f>AD7</f>
        <v>322.27</v>
      </c>
      <c r="CZ7">
        <f>AH7</f>
        <v>8.64</v>
      </c>
      <c r="DA7">
        <f>AL7</f>
        <v>37.299999999999997</v>
      </c>
      <c r="DB7">
        <f>ROUND((ROUND(AT7*CZ7,2)*ROUND(2,7)),2)</f>
        <v>114.04</v>
      </c>
      <c r="DC7">
        <f>ROUND((ROUND(AT7*AG7,2)*ROUND(2,7)),2)</f>
        <v>0</v>
      </c>
      <c r="DD7" t="s">
        <v>3</v>
      </c>
      <c r="DE7" t="s">
        <v>3</v>
      </c>
      <c r="DF7">
        <f t="shared" ref="DF7:DF17" si="4">ROUND(ROUND(AE7,0)*CX7,0)</f>
        <v>0</v>
      </c>
      <c r="DG7">
        <f t="shared" si="3"/>
        <v>0</v>
      </c>
      <c r="DH7">
        <f>ROUND(ROUND(AG7,0)*CX7,0)</f>
        <v>0</v>
      </c>
      <c r="DI7">
        <f>ROUND(ROUND(AH7*AL7,0)*CX7,0)</f>
        <v>106</v>
      </c>
      <c r="DJ7">
        <f>DI7</f>
        <v>106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ROW(Source!A26)</f>
        <v>26</v>
      </c>
      <c r="B8">
        <v>60563954</v>
      </c>
      <c r="C8">
        <v>60564082</v>
      </c>
      <c r="D8">
        <v>44870912</v>
      </c>
      <c r="E8">
        <v>70</v>
      </c>
      <c r="F8">
        <v>1</v>
      </c>
      <c r="G8">
        <v>1</v>
      </c>
      <c r="H8">
        <v>1</v>
      </c>
      <c r="I8" t="s">
        <v>227</v>
      </c>
      <c r="J8" t="s">
        <v>3</v>
      </c>
      <c r="K8" t="s">
        <v>228</v>
      </c>
      <c r="L8">
        <v>1191</v>
      </c>
      <c r="N8">
        <v>1013</v>
      </c>
      <c r="O8" t="s">
        <v>209</v>
      </c>
      <c r="P8" t="s">
        <v>209</v>
      </c>
      <c r="Q8">
        <v>1</v>
      </c>
      <c r="W8">
        <v>0</v>
      </c>
      <c r="X8">
        <v>1318719038</v>
      </c>
      <c r="Y8">
        <f t="shared" ref="Y8:Y17" si="5">(AT8*ROUND(0.7,7))</f>
        <v>17.395</v>
      </c>
      <c r="AA8">
        <v>0</v>
      </c>
      <c r="AB8">
        <v>0</v>
      </c>
      <c r="AC8">
        <v>0</v>
      </c>
      <c r="AD8">
        <v>386.06</v>
      </c>
      <c r="AE8">
        <v>0</v>
      </c>
      <c r="AF8">
        <v>0</v>
      </c>
      <c r="AG8">
        <v>0</v>
      </c>
      <c r="AH8">
        <v>10.35</v>
      </c>
      <c r="AI8">
        <v>1</v>
      </c>
      <c r="AJ8">
        <v>1</v>
      </c>
      <c r="AK8">
        <v>1</v>
      </c>
      <c r="AL8">
        <v>37.299999999999997</v>
      </c>
      <c r="AM8">
        <v>4</v>
      </c>
      <c r="AN8">
        <v>0</v>
      </c>
      <c r="AO8">
        <v>1</v>
      </c>
      <c r="AP8">
        <v>1</v>
      </c>
      <c r="AQ8">
        <v>0</v>
      </c>
      <c r="AR8">
        <v>0</v>
      </c>
      <c r="AS8" t="s">
        <v>3</v>
      </c>
      <c r="AT8">
        <v>24.85</v>
      </c>
      <c r="AU8" t="s">
        <v>36</v>
      </c>
      <c r="AV8">
        <v>1</v>
      </c>
      <c r="AW8">
        <v>2</v>
      </c>
      <c r="AX8">
        <v>60564115</v>
      </c>
      <c r="AY8">
        <v>1</v>
      </c>
      <c r="AZ8">
        <v>0</v>
      </c>
      <c r="BA8">
        <v>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U8">
        <f>ROUND(AT8*Source!I26*AH8*AL8,0)</f>
        <v>56697</v>
      </c>
      <c r="CV8">
        <f>ROUND(Y8*Source!I26,7)</f>
        <v>102.80445</v>
      </c>
      <c r="CW8">
        <v>0</v>
      </c>
      <c r="CX8">
        <f>ROUND(Y8*Source!I26,7)</f>
        <v>102.80445</v>
      </c>
      <c r="CY8">
        <f>AD8</f>
        <v>386.06</v>
      </c>
      <c r="CZ8">
        <f>AH8</f>
        <v>10.35</v>
      </c>
      <c r="DA8">
        <f>AL8</f>
        <v>37.299999999999997</v>
      </c>
      <c r="DB8">
        <f t="shared" ref="DB8:DB17" si="6">ROUND((ROUND(AT8*CZ8,2)*ROUND(0.7,7)),2)</f>
        <v>180.04</v>
      </c>
      <c r="DC8">
        <f t="shared" ref="DC8:DC17" si="7">ROUND((ROUND(AT8*AG8,2)*ROUND(0.7,7)),2)</f>
        <v>0</v>
      </c>
      <c r="DD8" t="s">
        <v>3</v>
      </c>
      <c r="DE8" t="s">
        <v>3</v>
      </c>
      <c r="DF8">
        <f t="shared" si="4"/>
        <v>0</v>
      </c>
      <c r="DG8">
        <f t="shared" si="3"/>
        <v>0</v>
      </c>
      <c r="DH8">
        <f>ROUND(ROUND(AG8,0)*CX8,0)</f>
        <v>0</v>
      </c>
      <c r="DI8">
        <f>ROUND(ROUND(AH8*AL8,0)*CX8,0)</f>
        <v>39683</v>
      </c>
      <c r="DJ8">
        <f>DI8</f>
        <v>39683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ROW(Source!A26)</f>
        <v>26</v>
      </c>
      <c r="B9">
        <v>60563954</v>
      </c>
      <c r="C9">
        <v>60564082</v>
      </c>
      <c r="D9">
        <v>44871042</v>
      </c>
      <c r="E9">
        <v>70</v>
      </c>
      <c r="F9">
        <v>1</v>
      </c>
      <c r="G9">
        <v>1</v>
      </c>
      <c r="H9">
        <v>1</v>
      </c>
      <c r="I9" t="s">
        <v>210</v>
      </c>
      <c r="J9" t="s">
        <v>3</v>
      </c>
      <c r="K9" t="s">
        <v>211</v>
      </c>
      <c r="L9">
        <v>1191</v>
      </c>
      <c r="N9">
        <v>1013</v>
      </c>
      <c r="O9" t="s">
        <v>209</v>
      </c>
      <c r="P9" t="s">
        <v>209</v>
      </c>
      <c r="Q9">
        <v>1</v>
      </c>
      <c r="W9">
        <v>0</v>
      </c>
      <c r="X9">
        <v>-1417349443</v>
      </c>
      <c r="Y9">
        <f t="shared" si="5"/>
        <v>6.6569999999999991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1</v>
      </c>
      <c r="AK9">
        <v>37.299999999999997</v>
      </c>
      <c r="AL9">
        <v>1</v>
      </c>
      <c r="AM9">
        <v>4</v>
      </c>
      <c r="AN9">
        <v>0</v>
      </c>
      <c r="AO9">
        <v>1</v>
      </c>
      <c r="AP9">
        <v>1</v>
      </c>
      <c r="AQ9">
        <v>0</v>
      </c>
      <c r="AR9">
        <v>0</v>
      </c>
      <c r="AS9" t="s">
        <v>3</v>
      </c>
      <c r="AT9">
        <v>9.51</v>
      </c>
      <c r="AU9" t="s">
        <v>36</v>
      </c>
      <c r="AV9">
        <v>2</v>
      </c>
      <c r="AW9">
        <v>2</v>
      </c>
      <c r="AX9">
        <v>60564116</v>
      </c>
      <c r="AY9">
        <v>1</v>
      </c>
      <c r="AZ9">
        <v>0</v>
      </c>
      <c r="BA9">
        <v>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V9">
        <v>0</v>
      </c>
      <c r="CW9">
        <v>0</v>
      </c>
      <c r="CX9">
        <f>ROUND(Y9*Source!I26,7)</f>
        <v>39.342869999999998</v>
      </c>
      <c r="CY9">
        <f>AD9</f>
        <v>0</v>
      </c>
      <c r="CZ9">
        <f>AH9</f>
        <v>0</v>
      </c>
      <c r="DA9">
        <f>AL9</f>
        <v>1</v>
      </c>
      <c r="DB9">
        <f t="shared" si="6"/>
        <v>0</v>
      </c>
      <c r="DC9">
        <f t="shared" si="7"/>
        <v>0</v>
      </c>
      <c r="DD9" t="s">
        <v>3</v>
      </c>
      <c r="DE9" t="s">
        <v>3</v>
      </c>
      <c r="DF9">
        <f t="shared" si="4"/>
        <v>0</v>
      </c>
      <c r="DG9">
        <f t="shared" si="3"/>
        <v>0</v>
      </c>
      <c r="DH9">
        <f t="shared" ref="DH9:DH17" si="8">ROUND(ROUND(AG9*AK9,0)*CX9,0)</f>
        <v>0</v>
      </c>
      <c r="DI9">
        <f t="shared" ref="DI9:DI31" si="9">ROUND(ROUND(AH9,0)*CX9,0)</f>
        <v>0</v>
      </c>
      <c r="DJ9">
        <f>DI9</f>
        <v>0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ROW(Source!A26)</f>
        <v>26</v>
      </c>
      <c r="B10">
        <v>60563954</v>
      </c>
      <c r="C10">
        <v>60564082</v>
      </c>
      <c r="D10">
        <v>45032649</v>
      </c>
      <c r="E10">
        <v>1</v>
      </c>
      <c r="F10">
        <v>1</v>
      </c>
      <c r="G10">
        <v>1</v>
      </c>
      <c r="H10">
        <v>2</v>
      </c>
      <c r="I10" t="s">
        <v>229</v>
      </c>
      <c r="J10" t="s">
        <v>230</v>
      </c>
      <c r="K10" t="s">
        <v>231</v>
      </c>
      <c r="L10">
        <v>1367</v>
      </c>
      <c r="N10">
        <v>1011</v>
      </c>
      <c r="O10" t="s">
        <v>215</v>
      </c>
      <c r="P10" t="s">
        <v>215</v>
      </c>
      <c r="Q10">
        <v>1</v>
      </c>
      <c r="W10">
        <v>0</v>
      </c>
      <c r="X10">
        <v>-130837057</v>
      </c>
      <c r="Y10">
        <f t="shared" si="5"/>
        <v>0.55299999999999994</v>
      </c>
      <c r="AA10">
        <v>0</v>
      </c>
      <c r="AB10">
        <v>1233.79</v>
      </c>
      <c r="AC10">
        <v>503.55</v>
      </c>
      <c r="AD10">
        <v>0</v>
      </c>
      <c r="AE10">
        <v>0</v>
      </c>
      <c r="AF10">
        <v>86.4</v>
      </c>
      <c r="AG10">
        <v>13.5</v>
      </c>
      <c r="AH10">
        <v>0</v>
      </c>
      <c r="AI10">
        <v>1</v>
      </c>
      <c r="AJ10">
        <v>14.28</v>
      </c>
      <c r="AK10">
        <v>37.299999999999997</v>
      </c>
      <c r="AL10">
        <v>1</v>
      </c>
      <c r="AM10">
        <v>4</v>
      </c>
      <c r="AN10">
        <v>0</v>
      </c>
      <c r="AO10">
        <v>1</v>
      </c>
      <c r="AP10">
        <v>1</v>
      </c>
      <c r="AQ10">
        <v>0</v>
      </c>
      <c r="AR10">
        <v>0</v>
      </c>
      <c r="AS10" t="s">
        <v>3</v>
      </c>
      <c r="AT10">
        <v>0.79</v>
      </c>
      <c r="AU10" t="s">
        <v>232</v>
      </c>
      <c r="AV10">
        <v>0</v>
      </c>
      <c r="AW10">
        <v>2</v>
      </c>
      <c r="AX10">
        <v>60564117</v>
      </c>
      <c r="AY10">
        <v>1</v>
      </c>
      <c r="AZ10">
        <v>0</v>
      </c>
      <c r="BA10">
        <v>10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V10">
        <v>0</v>
      </c>
      <c r="CW10">
        <f>ROUND(Y10*Source!I26*DO10,7)</f>
        <v>0</v>
      </c>
      <c r="CX10">
        <f>ROUND(Y10*Source!I26,7)</f>
        <v>3.26823</v>
      </c>
      <c r="CY10">
        <f t="shared" ref="CY10:CY17" si="10">AB10</f>
        <v>1233.79</v>
      </c>
      <c r="CZ10">
        <f t="shared" ref="CZ10:CZ17" si="11">AF10</f>
        <v>86.4</v>
      </c>
      <c r="DA10">
        <f t="shared" ref="DA10:DA17" si="12">AJ10</f>
        <v>14.28</v>
      </c>
      <c r="DB10">
        <f t="shared" si="6"/>
        <v>47.78</v>
      </c>
      <c r="DC10">
        <f t="shared" si="7"/>
        <v>7.47</v>
      </c>
      <c r="DD10" t="s">
        <v>3</v>
      </c>
      <c r="DE10" t="s">
        <v>3</v>
      </c>
      <c r="DF10">
        <f t="shared" si="4"/>
        <v>0</v>
      </c>
      <c r="DG10">
        <f t="shared" ref="DG10:DG17" si="13">ROUND(ROUND(AF10*AJ10,0)*CX10,0)</f>
        <v>4033</v>
      </c>
      <c r="DH10">
        <f t="shared" si="8"/>
        <v>1647</v>
      </c>
      <c r="DI10">
        <f t="shared" si="9"/>
        <v>0</v>
      </c>
      <c r="DJ10">
        <f t="shared" ref="DJ10:DJ17" si="14">DG10</f>
        <v>4033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ROW(Source!A26)</f>
        <v>26</v>
      </c>
      <c r="B11">
        <v>60563954</v>
      </c>
      <c r="C11">
        <v>60564082</v>
      </c>
      <c r="D11">
        <v>45032707</v>
      </c>
      <c r="E11">
        <v>1</v>
      </c>
      <c r="F11">
        <v>1</v>
      </c>
      <c r="G11">
        <v>1</v>
      </c>
      <c r="H11">
        <v>2</v>
      </c>
      <c r="I11" t="s">
        <v>233</v>
      </c>
      <c r="J11" t="s">
        <v>234</v>
      </c>
      <c r="K11" t="s">
        <v>235</v>
      </c>
      <c r="L11">
        <v>1367</v>
      </c>
      <c r="N11">
        <v>1011</v>
      </c>
      <c r="O11" t="s">
        <v>215</v>
      </c>
      <c r="P11" t="s">
        <v>215</v>
      </c>
      <c r="Q11">
        <v>1</v>
      </c>
      <c r="W11">
        <v>0</v>
      </c>
      <c r="X11">
        <v>-430484415</v>
      </c>
      <c r="Y11">
        <f t="shared" si="5"/>
        <v>0.46199999999999997</v>
      </c>
      <c r="AA11">
        <v>0</v>
      </c>
      <c r="AB11">
        <v>1647.91</v>
      </c>
      <c r="AC11">
        <v>503.55</v>
      </c>
      <c r="AD11">
        <v>0</v>
      </c>
      <c r="AE11">
        <v>0</v>
      </c>
      <c r="AF11">
        <v>115.4</v>
      </c>
      <c r="AG11">
        <v>13.5</v>
      </c>
      <c r="AH11">
        <v>0</v>
      </c>
      <c r="AI11">
        <v>1</v>
      </c>
      <c r="AJ11">
        <v>14.28</v>
      </c>
      <c r="AK11">
        <v>37.299999999999997</v>
      </c>
      <c r="AL11">
        <v>1</v>
      </c>
      <c r="AM11">
        <v>4</v>
      </c>
      <c r="AN11">
        <v>0</v>
      </c>
      <c r="AO11">
        <v>1</v>
      </c>
      <c r="AP11">
        <v>1</v>
      </c>
      <c r="AQ11">
        <v>0</v>
      </c>
      <c r="AR11">
        <v>0</v>
      </c>
      <c r="AS11" t="s">
        <v>3</v>
      </c>
      <c r="AT11">
        <v>0.66</v>
      </c>
      <c r="AU11" t="s">
        <v>232</v>
      </c>
      <c r="AV11">
        <v>0</v>
      </c>
      <c r="AW11">
        <v>2</v>
      </c>
      <c r="AX11">
        <v>60564118</v>
      </c>
      <c r="AY11">
        <v>1</v>
      </c>
      <c r="AZ11">
        <v>0</v>
      </c>
      <c r="BA11">
        <v>11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V11">
        <v>0</v>
      </c>
      <c r="CW11">
        <f>ROUND(Y11*Source!I26*DO11,7)</f>
        <v>0</v>
      </c>
      <c r="CX11">
        <f>ROUND(Y11*Source!I26,7)</f>
        <v>2.7304200000000001</v>
      </c>
      <c r="CY11">
        <f t="shared" si="10"/>
        <v>1647.91</v>
      </c>
      <c r="CZ11">
        <f t="shared" si="11"/>
        <v>115.4</v>
      </c>
      <c r="DA11">
        <f t="shared" si="12"/>
        <v>14.28</v>
      </c>
      <c r="DB11">
        <f t="shared" si="6"/>
        <v>53.31</v>
      </c>
      <c r="DC11">
        <f t="shared" si="7"/>
        <v>6.24</v>
      </c>
      <c r="DD11" t="s">
        <v>3</v>
      </c>
      <c r="DE11" t="s">
        <v>3</v>
      </c>
      <c r="DF11">
        <f t="shared" si="4"/>
        <v>0</v>
      </c>
      <c r="DG11">
        <f t="shared" si="13"/>
        <v>4500</v>
      </c>
      <c r="DH11">
        <f t="shared" si="8"/>
        <v>1376</v>
      </c>
      <c r="DI11">
        <f t="shared" si="9"/>
        <v>0</v>
      </c>
      <c r="DJ11">
        <f t="shared" si="14"/>
        <v>4500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ROW(Source!A26)</f>
        <v>26</v>
      </c>
      <c r="B12">
        <v>60563954</v>
      </c>
      <c r="C12">
        <v>60564082</v>
      </c>
      <c r="D12">
        <v>45032713</v>
      </c>
      <c r="E12">
        <v>1</v>
      </c>
      <c r="F12">
        <v>1</v>
      </c>
      <c r="G12">
        <v>1</v>
      </c>
      <c r="H12">
        <v>2</v>
      </c>
      <c r="I12" t="s">
        <v>236</v>
      </c>
      <c r="J12" t="s">
        <v>237</v>
      </c>
      <c r="K12" t="s">
        <v>238</v>
      </c>
      <c r="L12">
        <v>1367</v>
      </c>
      <c r="N12">
        <v>1011</v>
      </c>
      <c r="O12" t="s">
        <v>215</v>
      </c>
      <c r="P12" t="s">
        <v>215</v>
      </c>
      <c r="Q12">
        <v>1</v>
      </c>
      <c r="W12">
        <v>0</v>
      </c>
      <c r="X12">
        <v>-1189221606</v>
      </c>
      <c r="Y12">
        <f t="shared" si="5"/>
        <v>0.182</v>
      </c>
      <c r="AA12">
        <v>0</v>
      </c>
      <c r="AB12">
        <v>1714.17</v>
      </c>
      <c r="AC12">
        <v>503.55</v>
      </c>
      <c r="AD12">
        <v>0</v>
      </c>
      <c r="AE12">
        <v>0</v>
      </c>
      <c r="AF12">
        <v>120.04</v>
      </c>
      <c r="AG12">
        <v>13.5</v>
      </c>
      <c r="AH12">
        <v>0</v>
      </c>
      <c r="AI12">
        <v>1</v>
      </c>
      <c r="AJ12">
        <v>14.28</v>
      </c>
      <c r="AK12">
        <v>37.299999999999997</v>
      </c>
      <c r="AL12">
        <v>1</v>
      </c>
      <c r="AM12">
        <v>4</v>
      </c>
      <c r="AN12">
        <v>0</v>
      </c>
      <c r="AO12">
        <v>1</v>
      </c>
      <c r="AP12">
        <v>1</v>
      </c>
      <c r="AQ12">
        <v>0</v>
      </c>
      <c r="AR12">
        <v>0</v>
      </c>
      <c r="AS12" t="s">
        <v>3</v>
      </c>
      <c r="AT12">
        <v>0.26</v>
      </c>
      <c r="AU12" t="s">
        <v>232</v>
      </c>
      <c r="AV12">
        <v>0</v>
      </c>
      <c r="AW12">
        <v>2</v>
      </c>
      <c r="AX12">
        <v>60564119</v>
      </c>
      <c r="AY12">
        <v>1</v>
      </c>
      <c r="AZ12">
        <v>0</v>
      </c>
      <c r="BA12">
        <v>12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V12">
        <v>0</v>
      </c>
      <c r="CW12">
        <f>ROUND(Y12*Source!I26*DO12,7)</f>
        <v>0</v>
      </c>
      <c r="CX12">
        <f>ROUND(Y12*Source!I26,7)</f>
        <v>1.07562</v>
      </c>
      <c r="CY12">
        <f t="shared" si="10"/>
        <v>1714.17</v>
      </c>
      <c r="CZ12">
        <f t="shared" si="11"/>
        <v>120.04</v>
      </c>
      <c r="DA12">
        <f t="shared" si="12"/>
        <v>14.28</v>
      </c>
      <c r="DB12">
        <f t="shared" si="6"/>
        <v>21.85</v>
      </c>
      <c r="DC12">
        <f t="shared" si="7"/>
        <v>2.46</v>
      </c>
      <c r="DD12" t="s">
        <v>3</v>
      </c>
      <c r="DE12" t="s">
        <v>3</v>
      </c>
      <c r="DF12">
        <f t="shared" si="4"/>
        <v>0</v>
      </c>
      <c r="DG12">
        <f t="shared" si="13"/>
        <v>1844</v>
      </c>
      <c r="DH12">
        <f t="shared" si="8"/>
        <v>542</v>
      </c>
      <c r="DI12">
        <f t="shared" si="9"/>
        <v>0</v>
      </c>
      <c r="DJ12">
        <f t="shared" si="14"/>
        <v>1844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ROW(Source!A26)</f>
        <v>26</v>
      </c>
      <c r="B13">
        <v>60563954</v>
      </c>
      <c r="C13">
        <v>60564082</v>
      </c>
      <c r="D13">
        <v>45032715</v>
      </c>
      <c r="E13">
        <v>1</v>
      </c>
      <c r="F13">
        <v>1</v>
      </c>
      <c r="G13">
        <v>1</v>
      </c>
      <c r="H13">
        <v>2</v>
      </c>
      <c r="I13" t="s">
        <v>239</v>
      </c>
      <c r="J13" t="s">
        <v>240</v>
      </c>
      <c r="K13" t="s">
        <v>241</v>
      </c>
      <c r="L13">
        <v>1367</v>
      </c>
      <c r="N13">
        <v>1011</v>
      </c>
      <c r="O13" t="s">
        <v>215</v>
      </c>
      <c r="P13" t="s">
        <v>215</v>
      </c>
      <c r="Q13">
        <v>1</v>
      </c>
      <c r="W13">
        <v>0</v>
      </c>
      <c r="X13">
        <v>-1161184353</v>
      </c>
      <c r="Y13">
        <f t="shared" si="5"/>
        <v>1.099</v>
      </c>
      <c r="AA13">
        <v>0</v>
      </c>
      <c r="AB13">
        <v>4141.34</v>
      </c>
      <c r="AC13">
        <v>936.23</v>
      </c>
      <c r="AD13">
        <v>0</v>
      </c>
      <c r="AE13">
        <v>0</v>
      </c>
      <c r="AF13">
        <v>290.01</v>
      </c>
      <c r="AG13">
        <v>25.1</v>
      </c>
      <c r="AH13">
        <v>0</v>
      </c>
      <c r="AI13">
        <v>1</v>
      </c>
      <c r="AJ13">
        <v>14.28</v>
      </c>
      <c r="AK13">
        <v>37.299999999999997</v>
      </c>
      <c r="AL13">
        <v>1</v>
      </c>
      <c r="AM13">
        <v>4</v>
      </c>
      <c r="AN13">
        <v>0</v>
      </c>
      <c r="AO13">
        <v>1</v>
      </c>
      <c r="AP13">
        <v>1</v>
      </c>
      <c r="AQ13">
        <v>0</v>
      </c>
      <c r="AR13">
        <v>0</v>
      </c>
      <c r="AS13" t="s">
        <v>3</v>
      </c>
      <c r="AT13">
        <v>1.57</v>
      </c>
      <c r="AU13" t="s">
        <v>232</v>
      </c>
      <c r="AV13">
        <v>0</v>
      </c>
      <c r="AW13">
        <v>2</v>
      </c>
      <c r="AX13">
        <v>60564120</v>
      </c>
      <c r="AY13">
        <v>1</v>
      </c>
      <c r="AZ13">
        <v>0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V13">
        <v>0</v>
      </c>
      <c r="CW13">
        <f>ROUND(Y13*Source!I26*DO13,7)</f>
        <v>0</v>
      </c>
      <c r="CX13">
        <f>ROUND(Y13*Source!I26,7)</f>
        <v>6.4950900000000003</v>
      </c>
      <c r="CY13">
        <f t="shared" si="10"/>
        <v>4141.34</v>
      </c>
      <c r="CZ13">
        <f t="shared" si="11"/>
        <v>290.01</v>
      </c>
      <c r="DA13">
        <f t="shared" si="12"/>
        <v>14.28</v>
      </c>
      <c r="DB13">
        <f t="shared" si="6"/>
        <v>318.72000000000003</v>
      </c>
      <c r="DC13">
        <f t="shared" si="7"/>
        <v>27.59</v>
      </c>
      <c r="DD13" t="s">
        <v>3</v>
      </c>
      <c r="DE13" t="s">
        <v>3</v>
      </c>
      <c r="DF13">
        <f t="shared" si="4"/>
        <v>0</v>
      </c>
      <c r="DG13">
        <f t="shared" si="13"/>
        <v>26896</v>
      </c>
      <c r="DH13">
        <f t="shared" si="8"/>
        <v>6079</v>
      </c>
      <c r="DI13">
        <f t="shared" si="9"/>
        <v>0</v>
      </c>
      <c r="DJ13">
        <f t="shared" si="14"/>
        <v>26896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ROW(Source!A26)</f>
        <v>26</v>
      </c>
      <c r="B14">
        <v>60563954</v>
      </c>
      <c r="C14">
        <v>60564082</v>
      </c>
      <c r="D14">
        <v>45032735</v>
      </c>
      <c r="E14">
        <v>1</v>
      </c>
      <c r="F14">
        <v>1</v>
      </c>
      <c r="G14">
        <v>1</v>
      </c>
      <c r="H14">
        <v>2</v>
      </c>
      <c r="I14" t="s">
        <v>242</v>
      </c>
      <c r="J14" t="s">
        <v>243</v>
      </c>
      <c r="K14" t="s">
        <v>244</v>
      </c>
      <c r="L14">
        <v>1367</v>
      </c>
      <c r="N14">
        <v>1011</v>
      </c>
      <c r="O14" t="s">
        <v>215</v>
      </c>
      <c r="P14" t="s">
        <v>215</v>
      </c>
      <c r="Q14">
        <v>1</v>
      </c>
      <c r="W14">
        <v>0</v>
      </c>
      <c r="X14">
        <v>987526153</v>
      </c>
      <c r="Y14">
        <f t="shared" si="5"/>
        <v>2.9119999999999999</v>
      </c>
      <c r="AA14">
        <v>0</v>
      </c>
      <c r="AB14">
        <v>1463.84</v>
      </c>
      <c r="AC14">
        <v>537.12</v>
      </c>
      <c r="AD14">
        <v>0</v>
      </c>
      <c r="AE14">
        <v>0</v>
      </c>
      <c r="AF14">
        <v>102.51</v>
      </c>
      <c r="AG14">
        <v>14.4</v>
      </c>
      <c r="AH14">
        <v>0</v>
      </c>
      <c r="AI14">
        <v>1</v>
      </c>
      <c r="AJ14">
        <v>14.28</v>
      </c>
      <c r="AK14">
        <v>37.299999999999997</v>
      </c>
      <c r="AL14">
        <v>1</v>
      </c>
      <c r="AM14">
        <v>4</v>
      </c>
      <c r="AN14">
        <v>0</v>
      </c>
      <c r="AO14">
        <v>1</v>
      </c>
      <c r="AP14">
        <v>1</v>
      </c>
      <c r="AQ14">
        <v>0</v>
      </c>
      <c r="AR14">
        <v>0</v>
      </c>
      <c r="AS14" t="s">
        <v>3</v>
      </c>
      <c r="AT14">
        <v>4.16</v>
      </c>
      <c r="AU14" t="s">
        <v>232</v>
      </c>
      <c r="AV14">
        <v>0</v>
      </c>
      <c r="AW14">
        <v>2</v>
      </c>
      <c r="AX14">
        <v>60564121</v>
      </c>
      <c r="AY14">
        <v>1</v>
      </c>
      <c r="AZ14">
        <v>0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V14">
        <v>0</v>
      </c>
      <c r="CW14">
        <f>ROUND(Y14*Source!I26*DO14,7)</f>
        <v>0</v>
      </c>
      <c r="CX14">
        <f>ROUND(Y14*Source!I26,7)</f>
        <v>17.20992</v>
      </c>
      <c r="CY14">
        <f t="shared" si="10"/>
        <v>1463.84</v>
      </c>
      <c r="CZ14">
        <f t="shared" si="11"/>
        <v>102.51</v>
      </c>
      <c r="DA14">
        <f t="shared" si="12"/>
        <v>14.28</v>
      </c>
      <c r="DB14">
        <f t="shared" si="6"/>
        <v>298.51</v>
      </c>
      <c r="DC14">
        <f t="shared" si="7"/>
        <v>41.93</v>
      </c>
      <c r="DD14" t="s">
        <v>3</v>
      </c>
      <c r="DE14" t="s">
        <v>3</v>
      </c>
      <c r="DF14">
        <f t="shared" si="4"/>
        <v>0</v>
      </c>
      <c r="DG14">
        <f t="shared" si="13"/>
        <v>25195</v>
      </c>
      <c r="DH14">
        <f t="shared" si="8"/>
        <v>9242</v>
      </c>
      <c r="DI14">
        <f t="shared" si="9"/>
        <v>0</v>
      </c>
      <c r="DJ14">
        <f t="shared" si="14"/>
        <v>25195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ROW(Source!A26)</f>
        <v>26</v>
      </c>
      <c r="B15">
        <v>60563954</v>
      </c>
      <c r="C15">
        <v>60564082</v>
      </c>
      <c r="D15">
        <v>45033637</v>
      </c>
      <c r="E15">
        <v>1</v>
      </c>
      <c r="F15">
        <v>1</v>
      </c>
      <c r="G15">
        <v>1</v>
      </c>
      <c r="H15">
        <v>2</v>
      </c>
      <c r="I15" t="s">
        <v>212</v>
      </c>
      <c r="J15" t="s">
        <v>213</v>
      </c>
      <c r="K15" t="s">
        <v>214</v>
      </c>
      <c r="L15">
        <v>1367</v>
      </c>
      <c r="N15">
        <v>1011</v>
      </c>
      <c r="O15" t="s">
        <v>215</v>
      </c>
      <c r="P15" t="s">
        <v>215</v>
      </c>
      <c r="Q15">
        <v>1</v>
      </c>
      <c r="W15">
        <v>0</v>
      </c>
      <c r="X15">
        <v>509054691</v>
      </c>
      <c r="Y15">
        <f t="shared" si="5"/>
        <v>0.35</v>
      </c>
      <c r="AA15">
        <v>0</v>
      </c>
      <c r="AB15">
        <v>938.34</v>
      </c>
      <c r="AC15">
        <v>432.68</v>
      </c>
      <c r="AD15">
        <v>0</v>
      </c>
      <c r="AE15">
        <v>0</v>
      </c>
      <c r="AF15">
        <v>65.709999999999994</v>
      </c>
      <c r="AG15">
        <v>11.6</v>
      </c>
      <c r="AH15">
        <v>0</v>
      </c>
      <c r="AI15">
        <v>1</v>
      </c>
      <c r="AJ15">
        <v>14.28</v>
      </c>
      <c r="AK15">
        <v>37.299999999999997</v>
      </c>
      <c r="AL15">
        <v>1</v>
      </c>
      <c r="AM15">
        <v>4</v>
      </c>
      <c r="AN15">
        <v>0</v>
      </c>
      <c r="AO15">
        <v>1</v>
      </c>
      <c r="AP15">
        <v>1</v>
      </c>
      <c r="AQ15">
        <v>0</v>
      </c>
      <c r="AR15">
        <v>0</v>
      </c>
      <c r="AS15" t="s">
        <v>3</v>
      </c>
      <c r="AT15">
        <v>0.5</v>
      </c>
      <c r="AU15" t="s">
        <v>232</v>
      </c>
      <c r="AV15">
        <v>0</v>
      </c>
      <c r="AW15">
        <v>2</v>
      </c>
      <c r="AX15">
        <v>60564122</v>
      </c>
      <c r="AY15">
        <v>1</v>
      </c>
      <c r="AZ15">
        <v>0</v>
      </c>
      <c r="BA15">
        <v>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V15">
        <v>0</v>
      </c>
      <c r="CW15">
        <f>ROUND(Y15*Source!I26*DO15,7)</f>
        <v>0</v>
      </c>
      <c r="CX15">
        <f>ROUND(Y15*Source!I26,7)</f>
        <v>2.0684999999999998</v>
      </c>
      <c r="CY15">
        <f t="shared" si="10"/>
        <v>938.34</v>
      </c>
      <c r="CZ15">
        <f t="shared" si="11"/>
        <v>65.709999999999994</v>
      </c>
      <c r="DA15">
        <f t="shared" si="12"/>
        <v>14.28</v>
      </c>
      <c r="DB15">
        <f t="shared" si="6"/>
        <v>23</v>
      </c>
      <c r="DC15">
        <f t="shared" si="7"/>
        <v>4.0599999999999996</v>
      </c>
      <c r="DD15" t="s">
        <v>3</v>
      </c>
      <c r="DE15" t="s">
        <v>3</v>
      </c>
      <c r="DF15">
        <f t="shared" si="4"/>
        <v>0</v>
      </c>
      <c r="DG15">
        <f t="shared" si="13"/>
        <v>1940</v>
      </c>
      <c r="DH15">
        <f t="shared" si="8"/>
        <v>896</v>
      </c>
      <c r="DI15">
        <f t="shared" si="9"/>
        <v>0</v>
      </c>
      <c r="DJ15">
        <f t="shared" si="14"/>
        <v>1940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ROW(Source!A26)</f>
        <v>26</v>
      </c>
      <c r="B16">
        <v>60563954</v>
      </c>
      <c r="C16">
        <v>60564082</v>
      </c>
      <c r="D16">
        <v>45033792</v>
      </c>
      <c r="E16">
        <v>1</v>
      </c>
      <c r="F16">
        <v>1</v>
      </c>
      <c r="G16">
        <v>1</v>
      </c>
      <c r="H16">
        <v>2</v>
      </c>
      <c r="I16" t="s">
        <v>245</v>
      </c>
      <c r="J16" t="s">
        <v>246</v>
      </c>
      <c r="K16" t="s">
        <v>247</v>
      </c>
      <c r="L16">
        <v>1367</v>
      </c>
      <c r="N16">
        <v>1011</v>
      </c>
      <c r="O16" t="s">
        <v>215</v>
      </c>
      <c r="P16" t="s">
        <v>215</v>
      </c>
      <c r="Q16">
        <v>1</v>
      </c>
      <c r="W16">
        <v>0</v>
      </c>
      <c r="X16">
        <v>2077867240</v>
      </c>
      <c r="Y16">
        <f t="shared" si="5"/>
        <v>1.6659999999999999</v>
      </c>
      <c r="AA16">
        <v>0</v>
      </c>
      <c r="AB16">
        <v>17.14</v>
      </c>
      <c r="AC16">
        <v>0</v>
      </c>
      <c r="AD16">
        <v>0</v>
      </c>
      <c r="AE16">
        <v>0</v>
      </c>
      <c r="AF16">
        <v>1.2</v>
      </c>
      <c r="AG16">
        <v>0</v>
      </c>
      <c r="AH16">
        <v>0</v>
      </c>
      <c r="AI16">
        <v>1</v>
      </c>
      <c r="AJ16">
        <v>14.28</v>
      </c>
      <c r="AK16">
        <v>37.299999999999997</v>
      </c>
      <c r="AL16">
        <v>1</v>
      </c>
      <c r="AM16">
        <v>4</v>
      </c>
      <c r="AN16">
        <v>0</v>
      </c>
      <c r="AO16">
        <v>1</v>
      </c>
      <c r="AP16">
        <v>1</v>
      </c>
      <c r="AQ16">
        <v>0</v>
      </c>
      <c r="AR16">
        <v>0</v>
      </c>
      <c r="AS16" t="s">
        <v>3</v>
      </c>
      <c r="AT16">
        <v>2.38</v>
      </c>
      <c r="AU16" t="s">
        <v>232</v>
      </c>
      <c r="AV16">
        <v>0</v>
      </c>
      <c r="AW16">
        <v>2</v>
      </c>
      <c r="AX16">
        <v>60564123</v>
      </c>
      <c r="AY16">
        <v>1</v>
      </c>
      <c r="AZ16">
        <v>0</v>
      </c>
      <c r="BA16">
        <v>16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V16">
        <v>0</v>
      </c>
      <c r="CW16">
        <f>ROUND(Y16*Source!I26*DO16,7)</f>
        <v>0</v>
      </c>
      <c r="CX16">
        <f>ROUND(Y16*Source!I26,7)</f>
        <v>9.8460599999999996</v>
      </c>
      <c r="CY16">
        <f t="shared" si="10"/>
        <v>17.14</v>
      </c>
      <c r="CZ16">
        <f t="shared" si="11"/>
        <v>1.2</v>
      </c>
      <c r="DA16">
        <f t="shared" si="12"/>
        <v>14.28</v>
      </c>
      <c r="DB16">
        <f t="shared" si="6"/>
        <v>2</v>
      </c>
      <c r="DC16">
        <f t="shared" si="7"/>
        <v>0</v>
      </c>
      <c r="DD16" t="s">
        <v>3</v>
      </c>
      <c r="DE16" t="s">
        <v>3</v>
      </c>
      <c r="DF16">
        <f t="shared" si="4"/>
        <v>0</v>
      </c>
      <c r="DG16">
        <f t="shared" si="13"/>
        <v>167</v>
      </c>
      <c r="DH16">
        <f t="shared" si="8"/>
        <v>0</v>
      </c>
      <c r="DI16">
        <f t="shared" si="9"/>
        <v>0</v>
      </c>
      <c r="DJ16">
        <f t="shared" si="14"/>
        <v>167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ROW(Source!A26)</f>
        <v>26</v>
      </c>
      <c r="B17">
        <v>60563954</v>
      </c>
      <c r="C17">
        <v>60564082</v>
      </c>
      <c r="D17">
        <v>45033835</v>
      </c>
      <c r="E17">
        <v>1</v>
      </c>
      <c r="F17">
        <v>1</v>
      </c>
      <c r="G17">
        <v>1</v>
      </c>
      <c r="H17">
        <v>2</v>
      </c>
      <c r="I17" t="s">
        <v>248</v>
      </c>
      <c r="J17" t="s">
        <v>249</v>
      </c>
      <c r="K17" t="s">
        <v>250</v>
      </c>
      <c r="L17">
        <v>1367</v>
      </c>
      <c r="N17">
        <v>1011</v>
      </c>
      <c r="O17" t="s">
        <v>215</v>
      </c>
      <c r="P17" t="s">
        <v>215</v>
      </c>
      <c r="Q17">
        <v>1</v>
      </c>
      <c r="W17">
        <v>0</v>
      </c>
      <c r="X17">
        <v>-1866313122</v>
      </c>
      <c r="Y17">
        <f t="shared" si="5"/>
        <v>2.2889999999999997</v>
      </c>
      <c r="AA17">
        <v>0</v>
      </c>
      <c r="AB17">
        <v>175.79</v>
      </c>
      <c r="AC17">
        <v>0</v>
      </c>
      <c r="AD17">
        <v>0</v>
      </c>
      <c r="AE17">
        <v>0</v>
      </c>
      <c r="AF17">
        <v>12.31</v>
      </c>
      <c r="AG17">
        <v>0</v>
      </c>
      <c r="AH17">
        <v>0</v>
      </c>
      <c r="AI17">
        <v>1</v>
      </c>
      <c r="AJ17">
        <v>14.28</v>
      </c>
      <c r="AK17">
        <v>37.299999999999997</v>
      </c>
      <c r="AL17">
        <v>1</v>
      </c>
      <c r="AM17">
        <v>4</v>
      </c>
      <c r="AN17">
        <v>0</v>
      </c>
      <c r="AO17">
        <v>1</v>
      </c>
      <c r="AP17">
        <v>1</v>
      </c>
      <c r="AQ17">
        <v>0</v>
      </c>
      <c r="AR17">
        <v>0</v>
      </c>
      <c r="AS17" t="s">
        <v>3</v>
      </c>
      <c r="AT17">
        <v>3.27</v>
      </c>
      <c r="AU17" t="s">
        <v>232</v>
      </c>
      <c r="AV17">
        <v>0</v>
      </c>
      <c r="AW17">
        <v>2</v>
      </c>
      <c r="AX17">
        <v>60564124</v>
      </c>
      <c r="AY17">
        <v>1</v>
      </c>
      <c r="AZ17">
        <v>0</v>
      </c>
      <c r="BA17">
        <v>17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V17">
        <v>0</v>
      </c>
      <c r="CW17">
        <f>ROUND(Y17*Source!I26*DO17,7)</f>
        <v>0</v>
      </c>
      <c r="CX17">
        <f>ROUND(Y17*Source!I26,7)</f>
        <v>13.527990000000001</v>
      </c>
      <c r="CY17">
        <f t="shared" si="10"/>
        <v>175.79</v>
      </c>
      <c r="CZ17">
        <f t="shared" si="11"/>
        <v>12.31</v>
      </c>
      <c r="DA17">
        <f t="shared" si="12"/>
        <v>14.28</v>
      </c>
      <c r="DB17">
        <f t="shared" si="6"/>
        <v>28.18</v>
      </c>
      <c r="DC17">
        <f t="shared" si="7"/>
        <v>0</v>
      </c>
      <c r="DD17" t="s">
        <v>3</v>
      </c>
      <c r="DE17" t="s">
        <v>3</v>
      </c>
      <c r="DF17">
        <f t="shared" si="4"/>
        <v>0</v>
      </c>
      <c r="DG17">
        <f t="shared" si="13"/>
        <v>2381</v>
      </c>
      <c r="DH17">
        <f t="shared" si="8"/>
        <v>0</v>
      </c>
      <c r="DI17">
        <f t="shared" si="9"/>
        <v>0</v>
      </c>
      <c r="DJ17">
        <f t="shared" si="14"/>
        <v>2381</v>
      </c>
      <c r="DK17">
        <v>0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ROW(Source!A26)</f>
        <v>26</v>
      </c>
      <c r="B18">
        <v>60563954</v>
      </c>
      <c r="C18">
        <v>60564082</v>
      </c>
      <c r="D18">
        <v>44881732</v>
      </c>
      <c r="E18">
        <v>1</v>
      </c>
      <c r="F18">
        <v>1</v>
      </c>
      <c r="G18">
        <v>1</v>
      </c>
      <c r="H18">
        <v>3</v>
      </c>
      <c r="I18" t="s">
        <v>251</v>
      </c>
      <c r="J18" t="s">
        <v>252</v>
      </c>
      <c r="K18" t="s">
        <v>253</v>
      </c>
      <c r="L18">
        <v>1339</v>
      </c>
      <c r="N18">
        <v>1007</v>
      </c>
      <c r="O18" t="s">
        <v>219</v>
      </c>
      <c r="P18" t="s">
        <v>219</v>
      </c>
      <c r="Q18">
        <v>1</v>
      </c>
      <c r="W18">
        <v>0</v>
      </c>
      <c r="X18">
        <v>-1761807714</v>
      </c>
      <c r="Y18">
        <f t="shared" ref="Y18:Y31" si="15">(AT18*ROUND(0,7))</f>
        <v>0</v>
      </c>
      <c r="AA18">
        <v>63.38</v>
      </c>
      <c r="AB18">
        <v>0</v>
      </c>
      <c r="AC18">
        <v>0</v>
      </c>
      <c r="AD18">
        <v>0</v>
      </c>
      <c r="AE18">
        <v>6.22</v>
      </c>
      <c r="AF18">
        <v>0</v>
      </c>
      <c r="AG18">
        <v>0</v>
      </c>
      <c r="AH18">
        <v>0</v>
      </c>
      <c r="AI18">
        <v>10.19</v>
      </c>
      <c r="AJ18">
        <v>1</v>
      </c>
      <c r="AK18">
        <v>1</v>
      </c>
      <c r="AL18">
        <v>1</v>
      </c>
      <c r="AM18">
        <v>4</v>
      </c>
      <c r="AN18">
        <v>0</v>
      </c>
      <c r="AO18">
        <v>1</v>
      </c>
      <c r="AP18">
        <v>1</v>
      </c>
      <c r="AQ18">
        <v>0</v>
      </c>
      <c r="AR18">
        <v>0</v>
      </c>
      <c r="AS18" t="s">
        <v>3</v>
      </c>
      <c r="AT18">
        <v>1.95</v>
      </c>
      <c r="AU18" t="s">
        <v>45</v>
      </c>
      <c r="AV18">
        <v>0</v>
      </c>
      <c r="AW18">
        <v>2</v>
      </c>
      <c r="AX18">
        <v>60564125</v>
      </c>
      <c r="AY18">
        <v>1</v>
      </c>
      <c r="AZ18">
        <v>0</v>
      </c>
      <c r="BA18">
        <v>18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V18">
        <v>0</v>
      </c>
      <c r="CW18">
        <v>0</v>
      </c>
      <c r="CX18">
        <f>ROUND(Y18*Source!I26,7)</f>
        <v>0</v>
      </c>
      <c r="CY18">
        <f t="shared" ref="CY18:CY31" si="16">AA18</f>
        <v>63.38</v>
      </c>
      <c r="CZ18">
        <f t="shared" ref="CZ18:CZ31" si="17">AE18</f>
        <v>6.22</v>
      </c>
      <c r="DA18">
        <f t="shared" ref="DA18:DA31" si="18">AI18</f>
        <v>10.19</v>
      </c>
      <c r="DB18">
        <f t="shared" ref="DB18:DB31" si="19">ROUND((ROUND(AT18*CZ18,2)*ROUND(0,7)),2)</f>
        <v>0</v>
      </c>
      <c r="DC18">
        <f t="shared" ref="DC18:DC31" si="20">ROUND((ROUND(AT18*AG18,2)*ROUND(0,7)),2)</f>
        <v>0</v>
      </c>
      <c r="DD18" t="s">
        <v>3</v>
      </c>
      <c r="DE18" t="s">
        <v>3</v>
      </c>
      <c r="DF18">
        <f t="shared" ref="DF18:DF31" si="21">ROUND(ROUND(AE18*AI18,0)*CX18,0)</f>
        <v>0</v>
      </c>
      <c r="DG18">
        <f t="shared" ref="DG18:DG33" si="22">ROUND(ROUND(AF18,0)*CX18,0)</f>
        <v>0</v>
      </c>
      <c r="DH18">
        <f t="shared" ref="DH18:DH32" si="23">ROUND(ROUND(AG18,0)*CX18,0)</f>
        <v>0</v>
      </c>
      <c r="DI18">
        <f t="shared" si="9"/>
        <v>0</v>
      </c>
      <c r="DJ18">
        <f t="shared" ref="DJ18:DJ31" si="24">DF18</f>
        <v>0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ROW(Source!A26)</f>
        <v>26</v>
      </c>
      <c r="B19">
        <v>60563954</v>
      </c>
      <c r="C19">
        <v>60564082</v>
      </c>
      <c r="D19">
        <v>44881738</v>
      </c>
      <c r="E19">
        <v>1</v>
      </c>
      <c r="F19">
        <v>1</v>
      </c>
      <c r="G19">
        <v>1</v>
      </c>
      <c r="H19">
        <v>3</v>
      </c>
      <c r="I19" t="s">
        <v>254</v>
      </c>
      <c r="J19" t="s">
        <v>255</v>
      </c>
      <c r="K19" t="s">
        <v>256</v>
      </c>
      <c r="L19">
        <v>1346</v>
      </c>
      <c r="N19">
        <v>1009</v>
      </c>
      <c r="O19" t="s">
        <v>257</v>
      </c>
      <c r="P19" t="s">
        <v>257</v>
      </c>
      <c r="Q19">
        <v>1</v>
      </c>
      <c r="W19">
        <v>0</v>
      </c>
      <c r="X19">
        <v>-2118006079</v>
      </c>
      <c r="Y19">
        <f t="shared" si="15"/>
        <v>0</v>
      </c>
      <c r="AA19">
        <v>62.06</v>
      </c>
      <c r="AB19">
        <v>0</v>
      </c>
      <c r="AC19">
        <v>0</v>
      </c>
      <c r="AD19">
        <v>0</v>
      </c>
      <c r="AE19">
        <v>6.09</v>
      </c>
      <c r="AF19">
        <v>0</v>
      </c>
      <c r="AG19">
        <v>0</v>
      </c>
      <c r="AH19">
        <v>0</v>
      </c>
      <c r="AI19">
        <v>10.19</v>
      </c>
      <c r="AJ19">
        <v>1</v>
      </c>
      <c r="AK19">
        <v>1</v>
      </c>
      <c r="AL19">
        <v>1</v>
      </c>
      <c r="AM19">
        <v>4</v>
      </c>
      <c r="AN19">
        <v>0</v>
      </c>
      <c r="AO19">
        <v>1</v>
      </c>
      <c r="AP19">
        <v>1</v>
      </c>
      <c r="AQ19">
        <v>0</v>
      </c>
      <c r="AR19">
        <v>0</v>
      </c>
      <c r="AS19" t="s">
        <v>3</v>
      </c>
      <c r="AT19">
        <v>0.59</v>
      </c>
      <c r="AU19" t="s">
        <v>45</v>
      </c>
      <c r="AV19">
        <v>0</v>
      </c>
      <c r="AW19">
        <v>2</v>
      </c>
      <c r="AX19">
        <v>60564126</v>
      </c>
      <c r="AY19">
        <v>1</v>
      </c>
      <c r="AZ19">
        <v>0</v>
      </c>
      <c r="BA19">
        <v>19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V19">
        <v>0</v>
      </c>
      <c r="CW19">
        <v>0</v>
      </c>
      <c r="CX19">
        <f>ROUND(Y19*Source!I26,7)</f>
        <v>0</v>
      </c>
      <c r="CY19">
        <f t="shared" si="16"/>
        <v>62.06</v>
      </c>
      <c r="CZ19">
        <f t="shared" si="17"/>
        <v>6.09</v>
      </c>
      <c r="DA19">
        <f t="shared" si="18"/>
        <v>10.19</v>
      </c>
      <c r="DB19">
        <f t="shared" si="19"/>
        <v>0</v>
      </c>
      <c r="DC19">
        <f t="shared" si="20"/>
        <v>0</v>
      </c>
      <c r="DD19" t="s">
        <v>3</v>
      </c>
      <c r="DE19" t="s">
        <v>3</v>
      </c>
      <c r="DF19">
        <f t="shared" si="21"/>
        <v>0</v>
      </c>
      <c r="DG19">
        <f t="shared" si="22"/>
        <v>0</v>
      </c>
      <c r="DH19">
        <f t="shared" si="23"/>
        <v>0</v>
      </c>
      <c r="DI19">
        <f t="shared" si="9"/>
        <v>0</v>
      </c>
      <c r="DJ19">
        <f t="shared" si="24"/>
        <v>0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ROW(Source!A26)</f>
        <v>26</v>
      </c>
      <c r="B20">
        <v>60563954</v>
      </c>
      <c r="C20">
        <v>60564082</v>
      </c>
      <c r="D20">
        <v>44884425</v>
      </c>
      <c r="E20">
        <v>1</v>
      </c>
      <c r="F20">
        <v>1</v>
      </c>
      <c r="G20">
        <v>1</v>
      </c>
      <c r="H20">
        <v>3</v>
      </c>
      <c r="I20" t="s">
        <v>258</v>
      </c>
      <c r="J20" t="s">
        <v>259</v>
      </c>
      <c r="K20" t="s">
        <v>260</v>
      </c>
      <c r="L20">
        <v>1346</v>
      </c>
      <c r="N20">
        <v>1009</v>
      </c>
      <c r="O20" t="s">
        <v>257</v>
      </c>
      <c r="P20" t="s">
        <v>257</v>
      </c>
      <c r="Q20">
        <v>1</v>
      </c>
      <c r="W20">
        <v>0</v>
      </c>
      <c r="X20">
        <v>149355137</v>
      </c>
      <c r="Y20">
        <f t="shared" si="15"/>
        <v>0</v>
      </c>
      <c r="AA20">
        <v>109.54</v>
      </c>
      <c r="AB20">
        <v>0</v>
      </c>
      <c r="AC20">
        <v>0</v>
      </c>
      <c r="AD20">
        <v>0</v>
      </c>
      <c r="AE20">
        <v>10.75</v>
      </c>
      <c r="AF20">
        <v>0</v>
      </c>
      <c r="AG20">
        <v>0</v>
      </c>
      <c r="AH20">
        <v>0</v>
      </c>
      <c r="AI20">
        <v>10.19</v>
      </c>
      <c r="AJ20">
        <v>1</v>
      </c>
      <c r="AK20">
        <v>1</v>
      </c>
      <c r="AL20">
        <v>1</v>
      </c>
      <c r="AM20">
        <v>4</v>
      </c>
      <c r="AN20">
        <v>0</v>
      </c>
      <c r="AO20">
        <v>1</v>
      </c>
      <c r="AP20">
        <v>1</v>
      </c>
      <c r="AQ20">
        <v>0</v>
      </c>
      <c r="AR20">
        <v>0</v>
      </c>
      <c r="AS20" t="s">
        <v>3</v>
      </c>
      <c r="AT20">
        <v>2.2999999999999998</v>
      </c>
      <c r="AU20" t="s">
        <v>45</v>
      </c>
      <c r="AV20">
        <v>0</v>
      </c>
      <c r="AW20">
        <v>2</v>
      </c>
      <c r="AX20">
        <v>60564127</v>
      </c>
      <c r="AY20">
        <v>1</v>
      </c>
      <c r="AZ20">
        <v>0</v>
      </c>
      <c r="BA20">
        <v>20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v>0</v>
      </c>
      <c r="CX20">
        <f>ROUND(Y20*Source!I26,7)</f>
        <v>0</v>
      </c>
      <c r="CY20">
        <f t="shared" si="16"/>
        <v>109.54</v>
      </c>
      <c r="CZ20">
        <f t="shared" si="17"/>
        <v>10.75</v>
      </c>
      <c r="DA20">
        <f t="shared" si="18"/>
        <v>10.19</v>
      </c>
      <c r="DB20">
        <f t="shared" si="19"/>
        <v>0</v>
      </c>
      <c r="DC20">
        <f t="shared" si="20"/>
        <v>0</v>
      </c>
      <c r="DD20" t="s">
        <v>3</v>
      </c>
      <c r="DE20" t="s">
        <v>3</v>
      </c>
      <c r="DF20">
        <f t="shared" si="21"/>
        <v>0</v>
      </c>
      <c r="DG20">
        <f t="shared" si="22"/>
        <v>0</v>
      </c>
      <c r="DH20">
        <f t="shared" si="23"/>
        <v>0</v>
      </c>
      <c r="DI20">
        <f t="shared" si="9"/>
        <v>0</v>
      </c>
      <c r="DJ20">
        <f t="shared" si="24"/>
        <v>0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ROW(Source!A26)</f>
        <v>26</v>
      </c>
      <c r="B21">
        <v>60563954</v>
      </c>
      <c r="C21">
        <v>60564082</v>
      </c>
      <c r="D21">
        <v>44885621</v>
      </c>
      <c r="E21">
        <v>1</v>
      </c>
      <c r="F21">
        <v>1</v>
      </c>
      <c r="G21">
        <v>1</v>
      </c>
      <c r="H21">
        <v>3</v>
      </c>
      <c r="I21" t="s">
        <v>261</v>
      </c>
      <c r="J21" t="s">
        <v>262</v>
      </c>
      <c r="K21" t="s">
        <v>263</v>
      </c>
      <c r="L21">
        <v>1346</v>
      </c>
      <c r="N21">
        <v>1009</v>
      </c>
      <c r="O21" t="s">
        <v>257</v>
      </c>
      <c r="P21" t="s">
        <v>257</v>
      </c>
      <c r="Q21">
        <v>1</v>
      </c>
      <c r="W21">
        <v>0</v>
      </c>
      <c r="X21">
        <v>-1864341761</v>
      </c>
      <c r="Y21">
        <f t="shared" si="15"/>
        <v>0</v>
      </c>
      <c r="AA21">
        <v>92.12</v>
      </c>
      <c r="AB21">
        <v>0</v>
      </c>
      <c r="AC21">
        <v>0</v>
      </c>
      <c r="AD21">
        <v>0</v>
      </c>
      <c r="AE21">
        <v>9.0399999999999991</v>
      </c>
      <c r="AF21">
        <v>0</v>
      </c>
      <c r="AG21">
        <v>0</v>
      </c>
      <c r="AH21">
        <v>0</v>
      </c>
      <c r="AI21">
        <v>10.19</v>
      </c>
      <c r="AJ21">
        <v>1</v>
      </c>
      <c r="AK21">
        <v>1</v>
      </c>
      <c r="AL21">
        <v>1</v>
      </c>
      <c r="AM21">
        <v>4</v>
      </c>
      <c r="AN21">
        <v>0</v>
      </c>
      <c r="AO21">
        <v>1</v>
      </c>
      <c r="AP21">
        <v>1</v>
      </c>
      <c r="AQ21">
        <v>0</v>
      </c>
      <c r="AR21">
        <v>0</v>
      </c>
      <c r="AS21" t="s">
        <v>3</v>
      </c>
      <c r="AT21">
        <v>1.6</v>
      </c>
      <c r="AU21" t="s">
        <v>45</v>
      </c>
      <c r="AV21">
        <v>0</v>
      </c>
      <c r="AW21">
        <v>2</v>
      </c>
      <c r="AX21">
        <v>60564128</v>
      </c>
      <c r="AY21">
        <v>1</v>
      </c>
      <c r="AZ21">
        <v>0</v>
      </c>
      <c r="BA21">
        <v>21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V21">
        <v>0</v>
      </c>
      <c r="CW21">
        <v>0</v>
      </c>
      <c r="CX21">
        <f>ROUND(Y21*Source!I26,7)</f>
        <v>0</v>
      </c>
      <c r="CY21">
        <f t="shared" si="16"/>
        <v>92.12</v>
      </c>
      <c r="CZ21">
        <f t="shared" si="17"/>
        <v>9.0399999999999991</v>
      </c>
      <c r="DA21">
        <f t="shared" si="18"/>
        <v>10.19</v>
      </c>
      <c r="DB21">
        <f t="shared" si="19"/>
        <v>0</v>
      </c>
      <c r="DC21">
        <f t="shared" si="20"/>
        <v>0</v>
      </c>
      <c r="DD21" t="s">
        <v>3</v>
      </c>
      <c r="DE21" t="s">
        <v>3</v>
      </c>
      <c r="DF21">
        <f t="shared" si="21"/>
        <v>0</v>
      </c>
      <c r="DG21">
        <f t="shared" si="22"/>
        <v>0</v>
      </c>
      <c r="DH21">
        <f t="shared" si="23"/>
        <v>0</v>
      </c>
      <c r="DI21">
        <f t="shared" si="9"/>
        <v>0</v>
      </c>
      <c r="DJ21">
        <f t="shared" si="24"/>
        <v>0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ROW(Source!A26)</f>
        <v>26</v>
      </c>
      <c r="B22">
        <v>60563954</v>
      </c>
      <c r="C22">
        <v>60564082</v>
      </c>
      <c r="D22">
        <v>44885720</v>
      </c>
      <c r="E22">
        <v>1</v>
      </c>
      <c r="F22">
        <v>1</v>
      </c>
      <c r="G22">
        <v>1</v>
      </c>
      <c r="H22">
        <v>3</v>
      </c>
      <c r="I22" t="s">
        <v>264</v>
      </c>
      <c r="J22" t="s">
        <v>265</v>
      </c>
      <c r="K22" t="s">
        <v>266</v>
      </c>
      <c r="L22">
        <v>1348</v>
      </c>
      <c r="N22">
        <v>1009</v>
      </c>
      <c r="O22" t="s">
        <v>32</v>
      </c>
      <c r="P22" t="s">
        <v>32</v>
      </c>
      <c r="Q22">
        <v>1000</v>
      </c>
      <c r="W22">
        <v>0</v>
      </c>
      <c r="X22">
        <v>-45966985</v>
      </c>
      <c r="Y22">
        <f t="shared" si="15"/>
        <v>0</v>
      </c>
      <c r="AA22">
        <v>122055.82</v>
      </c>
      <c r="AB22">
        <v>0</v>
      </c>
      <c r="AC22">
        <v>0</v>
      </c>
      <c r="AD22">
        <v>0</v>
      </c>
      <c r="AE22">
        <v>11978</v>
      </c>
      <c r="AF22">
        <v>0</v>
      </c>
      <c r="AG22">
        <v>0</v>
      </c>
      <c r="AH22">
        <v>0</v>
      </c>
      <c r="AI22">
        <v>10.19</v>
      </c>
      <c r="AJ22">
        <v>1</v>
      </c>
      <c r="AK22">
        <v>1</v>
      </c>
      <c r="AL22">
        <v>1</v>
      </c>
      <c r="AM22">
        <v>4</v>
      </c>
      <c r="AN22">
        <v>0</v>
      </c>
      <c r="AO22">
        <v>1</v>
      </c>
      <c r="AP22">
        <v>1</v>
      </c>
      <c r="AQ22">
        <v>0</v>
      </c>
      <c r="AR22">
        <v>0</v>
      </c>
      <c r="AS22" t="s">
        <v>3</v>
      </c>
      <c r="AT22">
        <v>1.0000000000000001E-5</v>
      </c>
      <c r="AU22" t="s">
        <v>45</v>
      </c>
      <c r="AV22">
        <v>0</v>
      </c>
      <c r="AW22">
        <v>2</v>
      </c>
      <c r="AX22">
        <v>60564129</v>
      </c>
      <c r="AY22">
        <v>1</v>
      </c>
      <c r="AZ22">
        <v>0</v>
      </c>
      <c r="BA22">
        <v>22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V22">
        <v>0</v>
      </c>
      <c r="CW22">
        <v>0</v>
      </c>
      <c r="CX22">
        <f>ROUND(Y22*Source!I26,7)</f>
        <v>0</v>
      </c>
      <c r="CY22">
        <f t="shared" si="16"/>
        <v>122055.82</v>
      </c>
      <c r="CZ22">
        <f t="shared" si="17"/>
        <v>11978</v>
      </c>
      <c r="DA22">
        <f t="shared" si="18"/>
        <v>10.19</v>
      </c>
      <c r="DB22">
        <f t="shared" si="19"/>
        <v>0</v>
      </c>
      <c r="DC22">
        <f t="shared" si="20"/>
        <v>0</v>
      </c>
      <c r="DD22" t="s">
        <v>3</v>
      </c>
      <c r="DE22" t="s">
        <v>3</v>
      </c>
      <c r="DF22">
        <f t="shared" si="21"/>
        <v>0</v>
      </c>
      <c r="DG22">
        <f t="shared" si="22"/>
        <v>0</v>
      </c>
      <c r="DH22">
        <f t="shared" si="23"/>
        <v>0</v>
      </c>
      <c r="DI22">
        <f t="shared" si="9"/>
        <v>0</v>
      </c>
      <c r="DJ22">
        <f t="shared" si="24"/>
        <v>0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ROW(Source!A26)</f>
        <v>26</v>
      </c>
      <c r="B23">
        <v>60563954</v>
      </c>
      <c r="C23">
        <v>60564082</v>
      </c>
      <c r="D23">
        <v>44886816</v>
      </c>
      <c r="E23">
        <v>1</v>
      </c>
      <c r="F23">
        <v>1</v>
      </c>
      <c r="G23">
        <v>1</v>
      </c>
      <c r="H23">
        <v>3</v>
      </c>
      <c r="I23" t="s">
        <v>267</v>
      </c>
      <c r="J23" t="s">
        <v>268</v>
      </c>
      <c r="K23" t="s">
        <v>269</v>
      </c>
      <c r="L23">
        <v>1348</v>
      </c>
      <c r="N23">
        <v>1009</v>
      </c>
      <c r="O23" t="s">
        <v>32</v>
      </c>
      <c r="P23" t="s">
        <v>32</v>
      </c>
      <c r="Q23">
        <v>1000</v>
      </c>
      <c r="W23">
        <v>0</v>
      </c>
      <c r="X23">
        <v>-1671348935</v>
      </c>
      <c r="Y23">
        <f t="shared" si="15"/>
        <v>0</v>
      </c>
      <c r="AA23">
        <v>386201</v>
      </c>
      <c r="AB23">
        <v>0</v>
      </c>
      <c r="AC23">
        <v>0</v>
      </c>
      <c r="AD23">
        <v>0</v>
      </c>
      <c r="AE23">
        <v>37900</v>
      </c>
      <c r="AF23">
        <v>0</v>
      </c>
      <c r="AG23">
        <v>0</v>
      </c>
      <c r="AH23">
        <v>0</v>
      </c>
      <c r="AI23">
        <v>10.19</v>
      </c>
      <c r="AJ23">
        <v>1</v>
      </c>
      <c r="AK23">
        <v>1</v>
      </c>
      <c r="AL23">
        <v>1</v>
      </c>
      <c r="AM23">
        <v>4</v>
      </c>
      <c r="AN23">
        <v>0</v>
      </c>
      <c r="AO23">
        <v>1</v>
      </c>
      <c r="AP23">
        <v>1</v>
      </c>
      <c r="AQ23">
        <v>0</v>
      </c>
      <c r="AR23">
        <v>0</v>
      </c>
      <c r="AS23" t="s">
        <v>3</v>
      </c>
      <c r="AT23">
        <v>1E-4</v>
      </c>
      <c r="AU23" t="s">
        <v>45</v>
      </c>
      <c r="AV23">
        <v>0</v>
      </c>
      <c r="AW23">
        <v>2</v>
      </c>
      <c r="AX23">
        <v>60564130</v>
      </c>
      <c r="AY23">
        <v>1</v>
      </c>
      <c r="AZ23">
        <v>0</v>
      </c>
      <c r="BA23">
        <v>23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ROUND(Y23*Source!I26,7)</f>
        <v>0</v>
      </c>
      <c r="CY23">
        <f t="shared" si="16"/>
        <v>386201</v>
      </c>
      <c r="CZ23">
        <f t="shared" si="17"/>
        <v>37900</v>
      </c>
      <c r="DA23">
        <f t="shared" si="18"/>
        <v>10.19</v>
      </c>
      <c r="DB23">
        <f t="shared" si="19"/>
        <v>0</v>
      </c>
      <c r="DC23">
        <f t="shared" si="20"/>
        <v>0</v>
      </c>
      <c r="DD23" t="s">
        <v>3</v>
      </c>
      <c r="DE23" t="s">
        <v>3</v>
      </c>
      <c r="DF23">
        <f t="shared" si="21"/>
        <v>0</v>
      </c>
      <c r="DG23">
        <f t="shared" si="22"/>
        <v>0</v>
      </c>
      <c r="DH23">
        <f t="shared" si="23"/>
        <v>0</v>
      </c>
      <c r="DI23">
        <f t="shared" si="9"/>
        <v>0</v>
      </c>
      <c r="DJ23">
        <f t="shared" si="24"/>
        <v>0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ROW(Source!A26)</f>
        <v>26</v>
      </c>
      <c r="B24">
        <v>60563954</v>
      </c>
      <c r="C24">
        <v>60564082</v>
      </c>
      <c r="D24">
        <v>44900368</v>
      </c>
      <c r="E24">
        <v>1</v>
      </c>
      <c r="F24">
        <v>1</v>
      </c>
      <c r="G24">
        <v>1</v>
      </c>
      <c r="H24">
        <v>3</v>
      </c>
      <c r="I24" t="s">
        <v>270</v>
      </c>
      <c r="J24" t="s">
        <v>271</v>
      </c>
      <c r="K24" t="s">
        <v>272</v>
      </c>
      <c r="L24">
        <v>1348</v>
      </c>
      <c r="N24">
        <v>1009</v>
      </c>
      <c r="O24" t="s">
        <v>32</v>
      </c>
      <c r="P24" t="s">
        <v>32</v>
      </c>
      <c r="Q24">
        <v>1000</v>
      </c>
      <c r="W24">
        <v>0</v>
      </c>
      <c r="X24">
        <v>-1915778085</v>
      </c>
      <c r="Y24">
        <f t="shared" si="15"/>
        <v>0</v>
      </c>
      <c r="AA24">
        <v>78585.279999999999</v>
      </c>
      <c r="AB24">
        <v>0</v>
      </c>
      <c r="AC24">
        <v>0</v>
      </c>
      <c r="AD24">
        <v>0</v>
      </c>
      <c r="AE24">
        <v>7712</v>
      </c>
      <c r="AF24">
        <v>0</v>
      </c>
      <c r="AG24">
        <v>0</v>
      </c>
      <c r="AH24">
        <v>0</v>
      </c>
      <c r="AI24">
        <v>10.19</v>
      </c>
      <c r="AJ24">
        <v>1</v>
      </c>
      <c r="AK24">
        <v>1</v>
      </c>
      <c r="AL24">
        <v>1</v>
      </c>
      <c r="AM24">
        <v>4</v>
      </c>
      <c r="AN24">
        <v>0</v>
      </c>
      <c r="AO24">
        <v>1</v>
      </c>
      <c r="AP24">
        <v>1</v>
      </c>
      <c r="AQ24">
        <v>0</v>
      </c>
      <c r="AR24">
        <v>0</v>
      </c>
      <c r="AS24" t="s">
        <v>3</v>
      </c>
      <c r="AT24">
        <v>3.7000000000000002E-3</v>
      </c>
      <c r="AU24" t="s">
        <v>45</v>
      </c>
      <c r="AV24">
        <v>0</v>
      </c>
      <c r="AW24">
        <v>2</v>
      </c>
      <c r="AX24">
        <v>60564131</v>
      </c>
      <c r="AY24">
        <v>1</v>
      </c>
      <c r="AZ24">
        <v>0</v>
      </c>
      <c r="BA24">
        <v>24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V24">
        <v>0</v>
      </c>
      <c r="CW24">
        <v>0</v>
      </c>
      <c r="CX24">
        <f>ROUND(Y24*Source!I26,7)</f>
        <v>0</v>
      </c>
      <c r="CY24">
        <f t="shared" si="16"/>
        <v>78585.279999999999</v>
      </c>
      <c r="CZ24">
        <f t="shared" si="17"/>
        <v>7712</v>
      </c>
      <c r="DA24">
        <f t="shared" si="18"/>
        <v>10.19</v>
      </c>
      <c r="DB24">
        <f t="shared" si="19"/>
        <v>0</v>
      </c>
      <c r="DC24">
        <f t="shared" si="20"/>
        <v>0</v>
      </c>
      <c r="DD24" t="s">
        <v>3</v>
      </c>
      <c r="DE24" t="s">
        <v>3</v>
      </c>
      <c r="DF24">
        <f t="shared" si="21"/>
        <v>0</v>
      </c>
      <c r="DG24">
        <f t="shared" si="22"/>
        <v>0</v>
      </c>
      <c r="DH24">
        <f t="shared" si="23"/>
        <v>0</v>
      </c>
      <c r="DI24">
        <f t="shared" si="9"/>
        <v>0</v>
      </c>
      <c r="DJ24">
        <f t="shared" si="24"/>
        <v>0</v>
      </c>
      <c r="DK24">
        <v>0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ROW(Source!A26)</f>
        <v>26</v>
      </c>
      <c r="B25">
        <v>60563954</v>
      </c>
      <c r="C25">
        <v>60564082</v>
      </c>
      <c r="D25">
        <v>44872833</v>
      </c>
      <c r="E25">
        <v>70</v>
      </c>
      <c r="F25">
        <v>1</v>
      </c>
      <c r="G25">
        <v>1</v>
      </c>
      <c r="H25">
        <v>3</v>
      </c>
      <c r="I25" t="s">
        <v>43</v>
      </c>
      <c r="J25" t="s">
        <v>3</v>
      </c>
      <c r="K25" t="s">
        <v>44</v>
      </c>
      <c r="L25">
        <v>1348</v>
      </c>
      <c r="N25">
        <v>1009</v>
      </c>
      <c r="O25" t="s">
        <v>32</v>
      </c>
      <c r="P25" t="s">
        <v>32</v>
      </c>
      <c r="Q25">
        <v>1000</v>
      </c>
      <c r="W25">
        <v>0</v>
      </c>
      <c r="X25">
        <v>748648226</v>
      </c>
      <c r="Y25">
        <f t="shared" si="15"/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10.19</v>
      </c>
      <c r="AJ25">
        <v>1</v>
      </c>
      <c r="AK25">
        <v>1</v>
      </c>
      <c r="AL25">
        <v>1</v>
      </c>
      <c r="AM25">
        <v>0</v>
      </c>
      <c r="AN25">
        <v>0</v>
      </c>
      <c r="AO25">
        <v>0</v>
      </c>
      <c r="AP25">
        <v>1</v>
      </c>
      <c r="AQ25">
        <v>0</v>
      </c>
      <c r="AR25">
        <v>0</v>
      </c>
      <c r="AS25" t="s">
        <v>3</v>
      </c>
      <c r="AT25">
        <v>1</v>
      </c>
      <c r="AU25" t="s">
        <v>45</v>
      </c>
      <c r="AV25">
        <v>0</v>
      </c>
      <c r="AW25">
        <v>2</v>
      </c>
      <c r="AX25">
        <v>60564132</v>
      </c>
      <c r="AY25">
        <v>1</v>
      </c>
      <c r="AZ25">
        <v>0</v>
      </c>
      <c r="BA25">
        <v>25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V25">
        <v>0</v>
      </c>
      <c r="CW25">
        <v>0</v>
      </c>
      <c r="CX25">
        <f>ROUND(Y25*Source!I26,7)</f>
        <v>0</v>
      </c>
      <c r="CY25">
        <f t="shared" si="16"/>
        <v>0</v>
      </c>
      <c r="CZ25">
        <f t="shared" si="17"/>
        <v>0</v>
      </c>
      <c r="DA25">
        <f t="shared" si="18"/>
        <v>10.19</v>
      </c>
      <c r="DB25">
        <f t="shared" si="19"/>
        <v>0</v>
      </c>
      <c r="DC25">
        <f t="shared" si="20"/>
        <v>0</v>
      </c>
      <c r="DD25" t="s">
        <v>3</v>
      </c>
      <c r="DE25" t="s">
        <v>3</v>
      </c>
      <c r="DF25">
        <f t="shared" si="21"/>
        <v>0</v>
      </c>
      <c r="DG25">
        <f t="shared" si="22"/>
        <v>0</v>
      </c>
      <c r="DH25">
        <f t="shared" si="23"/>
        <v>0</v>
      </c>
      <c r="DI25">
        <f t="shared" si="9"/>
        <v>0</v>
      </c>
      <c r="DJ25">
        <f t="shared" si="24"/>
        <v>0</v>
      </c>
      <c r="DK25">
        <v>0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ROW(Source!A26)</f>
        <v>26</v>
      </c>
      <c r="B26">
        <v>60563954</v>
      </c>
      <c r="C26">
        <v>60564082</v>
      </c>
      <c r="D26">
        <v>44902465</v>
      </c>
      <c r="E26">
        <v>1</v>
      </c>
      <c r="F26">
        <v>1</v>
      </c>
      <c r="G26">
        <v>1</v>
      </c>
      <c r="H26">
        <v>3</v>
      </c>
      <c r="I26" t="s">
        <v>273</v>
      </c>
      <c r="J26" t="s">
        <v>274</v>
      </c>
      <c r="K26" t="s">
        <v>275</v>
      </c>
      <c r="L26">
        <v>1302</v>
      </c>
      <c r="N26">
        <v>1003</v>
      </c>
      <c r="O26" t="s">
        <v>276</v>
      </c>
      <c r="P26" t="s">
        <v>276</v>
      </c>
      <c r="Q26">
        <v>10</v>
      </c>
      <c r="W26">
        <v>0</v>
      </c>
      <c r="X26">
        <v>581091037</v>
      </c>
      <c r="Y26">
        <f t="shared" si="15"/>
        <v>0</v>
      </c>
      <c r="AA26">
        <v>511.95</v>
      </c>
      <c r="AB26">
        <v>0</v>
      </c>
      <c r="AC26">
        <v>0</v>
      </c>
      <c r="AD26">
        <v>0</v>
      </c>
      <c r="AE26">
        <v>50.24</v>
      </c>
      <c r="AF26">
        <v>0</v>
      </c>
      <c r="AG26">
        <v>0</v>
      </c>
      <c r="AH26">
        <v>0</v>
      </c>
      <c r="AI26">
        <v>10.19</v>
      </c>
      <c r="AJ26">
        <v>1</v>
      </c>
      <c r="AK26">
        <v>1</v>
      </c>
      <c r="AL26">
        <v>1</v>
      </c>
      <c r="AM26">
        <v>4</v>
      </c>
      <c r="AN26">
        <v>0</v>
      </c>
      <c r="AO26">
        <v>1</v>
      </c>
      <c r="AP26">
        <v>1</v>
      </c>
      <c r="AQ26">
        <v>0</v>
      </c>
      <c r="AR26">
        <v>0</v>
      </c>
      <c r="AS26" t="s">
        <v>3</v>
      </c>
      <c r="AT26">
        <v>1.8700000000000001E-2</v>
      </c>
      <c r="AU26" t="s">
        <v>45</v>
      </c>
      <c r="AV26">
        <v>0</v>
      </c>
      <c r="AW26">
        <v>2</v>
      </c>
      <c r="AX26">
        <v>60564133</v>
      </c>
      <c r="AY26">
        <v>1</v>
      </c>
      <c r="AZ26">
        <v>0</v>
      </c>
      <c r="BA26">
        <v>26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ROUND(Y26*Source!I26,7)</f>
        <v>0</v>
      </c>
      <c r="CY26">
        <f t="shared" si="16"/>
        <v>511.95</v>
      </c>
      <c r="CZ26">
        <f t="shared" si="17"/>
        <v>50.24</v>
      </c>
      <c r="DA26">
        <f t="shared" si="18"/>
        <v>10.19</v>
      </c>
      <c r="DB26">
        <f t="shared" si="19"/>
        <v>0</v>
      </c>
      <c r="DC26">
        <f t="shared" si="20"/>
        <v>0</v>
      </c>
      <c r="DD26" t="s">
        <v>3</v>
      </c>
      <c r="DE26" t="s">
        <v>3</v>
      </c>
      <c r="DF26">
        <f t="shared" si="21"/>
        <v>0</v>
      </c>
      <c r="DG26">
        <f t="shared" si="22"/>
        <v>0</v>
      </c>
      <c r="DH26">
        <f t="shared" si="23"/>
        <v>0</v>
      </c>
      <c r="DI26">
        <f t="shared" si="9"/>
        <v>0</v>
      </c>
      <c r="DJ26">
        <f t="shared" si="24"/>
        <v>0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ROW(Source!A26)</f>
        <v>26</v>
      </c>
      <c r="B27">
        <v>60563954</v>
      </c>
      <c r="C27">
        <v>60564082</v>
      </c>
      <c r="D27">
        <v>44902820</v>
      </c>
      <c r="E27">
        <v>1</v>
      </c>
      <c r="F27">
        <v>1</v>
      </c>
      <c r="G27">
        <v>1</v>
      </c>
      <c r="H27">
        <v>3</v>
      </c>
      <c r="I27" t="s">
        <v>277</v>
      </c>
      <c r="J27" t="s">
        <v>278</v>
      </c>
      <c r="K27" t="s">
        <v>279</v>
      </c>
      <c r="L27">
        <v>1348</v>
      </c>
      <c r="N27">
        <v>1009</v>
      </c>
      <c r="O27" t="s">
        <v>32</v>
      </c>
      <c r="P27" t="s">
        <v>32</v>
      </c>
      <c r="Q27">
        <v>1000</v>
      </c>
      <c r="W27">
        <v>0</v>
      </c>
      <c r="X27">
        <v>-120483918</v>
      </c>
      <c r="Y27">
        <f t="shared" si="15"/>
        <v>0</v>
      </c>
      <c r="AA27">
        <v>45398.49</v>
      </c>
      <c r="AB27">
        <v>0</v>
      </c>
      <c r="AC27">
        <v>0</v>
      </c>
      <c r="AD27">
        <v>0</v>
      </c>
      <c r="AE27">
        <v>4455.2</v>
      </c>
      <c r="AF27">
        <v>0</v>
      </c>
      <c r="AG27">
        <v>0</v>
      </c>
      <c r="AH27">
        <v>0</v>
      </c>
      <c r="AI27">
        <v>10.19</v>
      </c>
      <c r="AJ27">
        <v>1</v>
      </c>
      <c r="AK27">
        <v>1</v>
      </c>
      <c r="AL27">
        <v>1</v>
      </c>
      <c r="AM27">
        <v>4</v>
      </c>
      <c r="AN27">
        <v>0</v>
      </c>
      <c r="AO27">
        <v>1</v>
      </c>
      <c r="AP27">
        <v>1</v>
      </c>
      <c r="AQ27">
        <v>0</v>
      </c>
      <c r="AR27">
        <v>0</v>
      </c>
      <c r="AS27" t="s">
        <v>3</v>
      </c>
      <c r="AT27">
        <v>3.0000000000000001E-5</v>
      </c>
      <c r="AU27" t="s">
        <v>45</v>
      </c>
      <c r="AV27">
        <v>0</v>
      </c>
      <c r="AW27">
        <v>2</v>
      </c>
      <c r="AX27">
        <v>60564134</v>
      </c>
      <c r="AY27">
        <v>1</v>
      </c>
      <c r="AZ27">
        <v>0</v>
      </c>
      <c r="BA27">
        <v>27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V27">
        <v>0</v>
      </c>
      <c r="CW27">
        <v>0</v>
      </c>
      <c r="CX27">
        <f>ROUND(Y27*Source!I26,7)</f>
        <v>0</v>
      </c>
      <c r="CY27">
        <f t="shared" si="16"/>
        <v>45398.49</v>
      </c>
      <c r="CZ27">
        <f t="shared" si="17"/>
        <v>4455.2</v>
      </c>
      <c r="DA27">
        <f t="shared" si="18"/>
        <v>10.19</v>
      </c>
      <c r="DB27">
        <f t="shared" si="19"/>
        <v>0</v>
      </c>
      <c r="DC27">
        <f t="shared" si="20"/>
        <v>0</v>
      </c>
      <c r="DD27" t="s">
        <v>3</v>
      </c>
      <c r="DE27" t="s">
        <v>3</v>
      </c>
      <c r="DF27">
        <f t="shared" si="21"/>
        <v>0</v>
      </c>
      <c r="DG27">
        <f t="shared" si="22"/>
        <v>0</v>
      </c>
      <c r="DH27">
        <f t="shared" si="23"/>
        <v>0</v>
      </c>
      <c r="DI27">
        <f t="shared" si="9"/>
        <v>0</v>
      </c>
      <c r="DJ27">
        <f t="shared" si="24"/>
        <v>0</v>
      </c>
      <c r="DK27">
        <v>0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ROW(Source!A26)</f>
        <v>26</v>
      </c>
      <c r="B28">
        <v>60563954</v>
      </c>
      <c r="C28">
        <v>60564082</v>
      </c>
      <c r="D28">
        <v>44903543</v>
      </c>
      <c r="E28">
        <v>1</v>
      </c>
      <c r="F28">
        <v>1</v>
      </c>
      <c r="G28">
        <v>1</v>
      </c>
      <c r="H28">
        <v>3</v>
      </c>
      <c r="I28" t="s">
        <v>280</v>
      </c>
      <c r="J28" t="s">
        <v>281</v>
      </c>
      <c r="K28" t="s">
        <v>282</v>
      </c>
      <c r="L28">
        <v>1348</v>
      </c>
      <c r="N28">
        <v>1009</v>
      </c>
      <c r="O28" t="s">
        <v>32</v>
      </c>
      <c r="P28" t="s">
        <v>32</v>
      </c>
      <c r="Q28">
        <v>1000</v>
      </c>
      <c r="W28">
        <v>0</v>
      </c>
      <c r="X28">
        <v>834877976</v>
      </c>
      <c r="Y28">
        <f t="shared" si="15"/>
        <v>0</v>
      </c>
      <c r="AA28">
        <v>50134.8</v>
      </c>
      <c r="AB28">
        <v>0</v>
      </c>
      <c r="AC28">
        <v>0</v>
      </c>
      <c r="AD28">
        <v>0</v>
      </c>
      <c r="AE28">
        <v>4920</v>
      </c>
      <c r="AF28">
        <v>0</v>
      </c>
      <c r="AG28">
        <v>0</v>
      </c>
      <c r="AH28">
        <v>0</v>
      </c>
      <c r="AI28">
        <v>10.19</v>
      </c>
      <c r="AJ28">
        <v>1</v>
      </c>
      <c r="AK28">
        <v>1</v>
      </c>
      <c r="AL28">
        <v>1</v>
      </c>
      <c r="AM28">
        <v>4</v>
      </c>
      <c r="AN28">
        <v>0</v>
      </c>
      <c r="AO28">
        <v>1</v>
      </c>
      <c r="AP28">
        <v>1</v>
      </c>
      <c r="AQ28">
        <v>0</v>
      </c>
      <c r="AR28">
        <v>0</v>
      </c>
      <c r="AS28" t="s">
        <v>3</v>
      </c>
      <c r="AT28">
        <v>1.9400000000000001E-3</v>
      </c>
      <c r="AU28" t="s">
        <v>45</v>
      </c>
      <c r="AV28">
        <v>0</v>
      </c>
      <c r="AW28">
        <v>2</v>
      </c>
      <c r="AX28">
        <v>60564135</v>
      </c>
      <c r="AY28">
        <v>1</v>
      </c>
      <c r="AZ28">
        <v>0</v>
      </c>
      <c r="BA28">
        <v>28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V28">
        <v>0</v>
      </c>
      <c r="CW28">
        <v>0</v>
      </c>
      <c r="CX28">
        <f>ROUND(Y28*Source!I26,7)</f>
        <v>0</v>
      </c>
      <c r="CY28">
        <f t="shared" si="16"/>
        <v>50134.8</v>
      </c>
      <c r="CZ28">
        <f t="shared" si="17"/>
        <v>4920</v>
      </c>
      <c r="DA28">
        <f t="shared" si="18"/>
        <v>10.19</v>
      </c>
      <c r="DB28">
        <f t="shared" si="19"/>
        <v>0</v>
      </c>
      <c r="DC28">
        <f t="shared" si="20"/>
        <v>0</v>
      </c>
      <c r="DD28" t="s">
        <v>3</v>
      </c>
      <c r="DE28" t="s">
        <v>3</v>
      </c>
      <c r="DF28">
        <f t="shared" si="21"/>
        <v>0</v>
      </c>
      <c r="DG28">
        <f t="shared" si="22"/>
        <v>0</v>
      </c>
      <c r="DH28">
        <f t="shared" si="23"/>
        <v>0</v>
      </c>
      <c r="DI28">
        <f t="shared" si="9"/>
        <v>0</v>
      </c>
      <c r="DJ28">
        <f t="shared" si="24"/>
        <v>0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ROW(Source!A26)</f>
        <v>26</v>
      </c>
      <c r="B29">
        <v>60563954</v>
      </c>
      <c r="C29">
        <v>60564082</v>
      </c>
      <c r="D29">
        <v>44906806</v>
      </c>
      <c r="E29">
        <v>1</v>
      </c>
      <c r="F29">
        <v>1</v>
      </c>
      <c r="G29">
        <v>1</v>
      </c>
      <c r="H29">
        <v>3</v>
      </c>
      <c r="I29" t="s">
        <v>283</v>
      </c>
      <c r="J29" t="s">
        <v>284</v>
      </c>
      <c r="K29" t="s">
        <v>285</v>
      </c>
      <c r="L29">
        <v>1339</v>
      </c>
      <c r="N29">
        <v>1007</v>
      </c>
      <c r="O29" t="s">
        <v>219</v>
      </c>
      <c r="P29" t="s">
        <v>219</v>
      </c>
      <c r="Q29">
        <v>1</v>
      </c>
      <c r="W29">
        <v>0</v>
      </c>
      <c r="X29">
        <v>1758287014</v>
      </c>
      <c r="Y29">
        <f t="shared" si="15"/>
        <v>0</v>
      </c>
      <c r="AA29">
        <v>17323</v>
      </c>
      <c r="AB29">
        <v>0</v>
      </c>
      <c r="AC29">
        <v>0</v>
      </c>
      <c r="AD29">
        <v>0</v>
      </c>
      <c r="AE29">
        <v>1700</v>
      </c>
      <c r="AF29">
        <v>0</v>
      </c>
      <c r="AG29">
        <v>0</v>
      </c>
      <c r="AH29">
        <v>0</v>
      </c>
      <c r="AI29">
        <v>10.19</v>
      </c>
      <c r="AJ29">
        <v>1</v>
      </c>
      <c r="AK29">
        <v>1</v>
      </c>
      <c r="AL29">
        <v>1</v>
      </c>
      <c r="AM29">
        <v>4</v>
      </c>
      <c r="AN29">
        <v>0</v>
      </c>
      <c r="AO29">
        <v>1</v>
      </c>
      <c r="AP29">
        <v>1</v>
      </c>
      <c r="AQ29">
        <v>0</v>
      </c>
      <c r="AR29">
        <v>0</v>
      </c>
      <c r="AS29" t="s">
        <v>3</v>
      </c>
      <c r="AT29">
        <v>1.0300000000000001E-3</v>
      </c>
      <c r="AU29" t="s">
        <v>45</v>
      </c>
      <c r="AV29">
        <v>0</v>
      </c>
      <c r="AW29">
        <v>2</v>
      </c>
      <c r="AX29">
        <v>60564136</v>
      </c>
      <c r="AY29">
        <v>1</v>
      </c>
      <c r="AZ29">
        <v>0</v>
      </c>
      <c r="BA29">
        <v>29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V29">
        <v>0</v>
      </c>
      <c r="CW29">
        <v>0</v>
      </c>
      <c r="CX29">
        <f>ROUND(Y29*Source!I26,7)</f>
        <v>0</v>
      </c>
      <c r="CY29">
        <f t="shared" si="16"/>
        <v>17323</v>
      </c>
      <c r="CZ29">
        <f t="shared" si="17"/>
        <v>1700</v>
      </c>
      <c r="DA29">
        <f t="shared" si="18"/>
        <v>10.19</v>
      </c>
      <c r="DB29">
        <f t="shared" si="19"/>
        <v>0</v>
      </c>
      <c r="DC29">
        <f t="shared" si="20"/>
        <v>0</v>
      </c>
      <c r="DD29" t="s">
        <v>3</v>
      </c>
      <c r="DE29" t="s">
        <v>3</v>
      </c>
      <c r="DF29">
        <f t="shared" si="21"/>
        <v>0</v>
      </c>
      <c r="DG29">
        <f t="shared" si="22"/>
        <v>0</v>
      </c>
      <c r="DH29">
        <f t="shared" si="23"/>
        <v>0</v>
      </c>
      <c r="DI29">
        <f t="shared" si="9"/>
        <v>0</v>
      </c>
      <c r="DJ29">
        <f t="shared" si="24"/>
        <v>0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ROW(Source!A26)</f>
        <v>26</v>
      </c>
      <c r="B30">
        <v>60563954</v>
      </c>
      <c r="C30">
        <v>60564082</v>
      </c>
      <c r="D30">
        <v>44914424</v>
      </c>
      <c r="E30">
        <v>1</v>
      </c>
      <c r="F30">
        <v>1</v>
      </c>
      <c r="G30">
        <v>1</v>
      </c>
      <c r="H30">
        <v>3</v>
      </c>
      <c r="I30" t="s">
        <v>286</v>
      </c>
      <c r="J30" t="s">
        <v>287</v>
      </c>
      <c r="K30" t="s">
        <v>288</v>
      </c>
      <c r="L30">
        <v>1348</v>
      </c>
      <c r="N30">
        <v>1009</v>
      </c>
      <c r="O30" t="s">
        <v>32</v>
      </c>
      <c r="P30" t="s">
        <v>32</v>
      </c>
      <c r="Q30">
        <v>1000</v>
      </c>
      <c r="W30">
        <v>0</v>
      </c>
      <c r="X30">
        <v>264248573</v>
      </c>
      <c r="Y30">
        <f t="shared" si="15"/>
        <v>0</v>
      </c>
      <c r="AA30">
        <v>159167.79999999999</v>
      </c>
      <c r="AB30">
        <v>0</v>
      </c>
      <c r="AC30">
        <v>0</v>
      </c>
      <c r="AD30">
        <v>0</v>
      </c>
      <c r="AE30">
        <v>15620</v>
      </c>
      <c r="AF30">
        <v>0</v>
      </c>
      <c r="AG30">
        <v>0</v>
      </c>
      <c r="AH30">
        <v>0</v>
      </c>
      <c r="AI30">
        <v>10.19</v>
      </c>
      <c r="AJ30">
        <v>1</v>
      </c>
      <c r="AK30">
        <v>1</v>
      </c>
      <c r="AL30">
        <v>1</v>
      </c>
      <c r="AM30">
        <v>4</v>
      </c>
      <c r="AN30">
        <v>0</v>
      </c>
      <c r="AO30">
        <v>1</v>
      </c>
      <c r="AP30">
        <v>1</v>
      </c>
      <c r="AQ30">
        <v>0</v>
      </c>
      <c r="AR30">
        <v>0</v>
      </c>
      <c r="AS30" t="s">
        <v>3</v>
      </c>
      <c r="AT30">
        <v>3.1E-4</v>
      </c>
      <c r="AU30" t="s">
        <v>45</v>
      </c>
      <c r="AV30">
        <v>0</v>
      </c>
      <c r="AW30">
        <v>2</v>
      </c>
      <c r="AX30">
        <v>60564137</v>
      </c>
      <c r="AY30">
        <v>1</v>
      </c>
      <c r="AZ30">
        <v>0</v>
      </c>
      <c r="BA30">
        <v>30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V30">
        <v>0</v>
      </c>
      <c r="CW30">
        <v>0</v>
      </c>
      <c r="CX30">
        <f>ROUND(Y30*Source!I26,7)</f>
        <v>0</v>
      </c>
      <c r="CY30">
        <f t="shared" si="16"/>
        <v>159167.79999999999</v>
      </c>
      <c r="CZ30">
        <f t="shared" si="17"/>
        <v>15620</v>
      </c>
      <c r="DA30">
        <f t="shared" si="18"/>
        <v>10.19</v>
      </c>
      <c r="DB30">
        <f t="shared" si="19"/>
        <v>0</v>
      </c>
      <c r="DC30">
        <f t="shared" si="20"/>
        <v>0</v>
      </c>
      <c r="DD30" t="s">
        <v>3</v>
      </c>
      <c r="DE30" t="s">
        <v>3</v>
      </c>
      <c r="DF30">
        <f t="shared" si="21"/>
        <v>0</v>
      </c>
      <c r="DG30">
        <f t="shared" si="22"/>
        <v>0</v>
      </c>
      <c r="DH30">
        <f t="shared" si="23"/>
        <v>0</v>
      </c>
      <c r="DI30">
        <f t="shared" si="9"/>
        <v>0</v>
      </c>
      <c r="DJ30">
        <f t="shared" si="24"/>
        <v>0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ROW(Source!A26)</f>
        <v>26</v>
      </c>
      <c r="B31">
        <v>60563954</v>
      </c>
      <c r="C31">
        <v>60564082</v>
      </c>
      <c r="D31">
        <v>44915537</v>
      </c>
      <c r="E31">
        <v>1</v>
      </c>
      <c r="F31">
        <v>1</v>
      </c>
      <c r="G31">
        <v>1</v>
      </c>
      <c r="H31">
        <v>3</v>
      </c>
      <c r="I31" t="s">
        <v>289</v>
      </c>
      <c r="J31" t="s">
        <v>290</v>
      </c>
      <c r="K31" t="s">
        <v>291</v>
      </c>
      <c r="L31">
        <v>1346</v>
      </c>
      <c r="N31">
        <v>1009</v>
      </c>
      <c r="O31" t="s">
        <v>257</v>
      </c>
      <c r="P31" t="s">
        <v>257</v>
      </c>
      <c r="Q31">
        <v>1</v>
      </c>
      <c r="W31">
        <v>0</v>
      </c>
      <c r="X31">
        <v>-1449230318</v>
      </c>
      <c r="Y31">
        <f t="shared" si="15"/>
        <v>0</v>
      </c>
      <c r="AA31">
        <v>95.99</v>
      </c>
      <c r="AB31">
        <v>0</v>
      </c>
      <c r="AC31">
        <v>0</v>
      </c>
      <c r="AD31">
        <v>0</v>
      </c>
      <c r="AE31">
        <v>9.42</v>
      </c>
      <c r="AF31">
        <v>0</v>
      </c>
      <c r="AG31">
        <v>0</v>
      </c>
      <c r="AH31">
        <v>0</v>
      </c>
      <c r="AI31">
        <v>10.19</v>
      </c>
      <c r="AJ31">
        <v>1</v>
      </c>
      <c r="AK31">
        <v>1</v>
      </c>
      <c r="AL31">
        <v>1</v>
      </c>
      <c r="AM31">
        <v>4</v>
      </c>
      <c r="AN31">
        <v>0</v>
      </c>
      <c r="AO31">
        <v>1</v>
      </c>
      <c r="AP31">
        <v>1</v>
      </c>
      <c r="AQ31">
        <v>0</v>
      </c>
      <c r="AR31">
        <v>0</v>
      </c>
      <c r="AS31" t="s">
        <v>3</v>
      </c>
      <c r="AT31">
        <v>0.6</v>
      </c>
      <c r="AU31" t="s">
        <v>45</v>
      </c>
      <c r="AV31">
        <v>0</v>
      </c>
      <c r="AW31">
        <v>2</v>
      </c>
      <c r="AX31">
        <v>60564138</v>
      </c>
      <c r="AY31">
        <v>1</v>
      </c>
      <c r="AZ31">
        <v>0</v>
      </c>
      <c r="BA31">
        <v>31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V31">
        <v>0</v>
      </c>
      <c r="CW31">
        <v>0</v>
      </c>
      <c r="CX31">
        <f>ROUND(Y31*Source!I26,7)</f>
        <v>0</v>
      </c>
      <c r="CY31">
        <f t="shared" si="16"/>
        <v>95.99</v>
      </c>
      <c r="CZ31">
        <f t="shared" si="17"/>
        <v>9.42</v>
      </c>
      <c r="DA31">
        <f t="shared" si="18"/>
        <v>10.19</v>
      </c>
      <c r="DB31">
        <f t="shared" si="19"/>
        <v>0</v>
      </c>
      <c r="DC31">
        <f t="shared" si="20"/>
        <v>0</v>
      </c>
      <c r="DD31" t="s">
        <v>3</v>
      </c>
      <c r="DE31" t="s">
        <v>3</v>
      </c>
      <c r="DF31">
        <f t="shared" si="21"/>
        <v>0</v>
      </c>
      <c r="DG31">
        <f t="shared" si="22"/>
        <v>0</v>
      </c>
      <c r="DH31">
        <f t="shared" si="23"/>
        <v>0</v>
      </c>
      <c r="DI31">
        <f t="shared" si="9"/>
        <v>0</v>
      </c>
      <c r="DJ31">
        <f t="shared" si="24"/>
        <v>0</v>
      </c>
      <c r="DK31">
        <v>0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ROW(Source!A30)</f>
        <v>30</v>
      </c>
      <c r="B32">
        <v>60563954</v>
      </c>
      <c r="C32">
        <v>60564140</v>
      </c>
      <c r="D32">
        <v>44870890</v>
      </c>
      <c r="E32">
        <v>70</v>
      </c>
      <c r="F32">
        <v>1</v>
      </c>
      <c r="G32">
        <v>1</v>
      </c>
      <c r="H32">
        <v>1</v>
      </c>
      <c r="I32" t="s">
        <v>292</v>
      </c>
      <c r="J32" t="s">
        <v>3</v>
      </c>
      <c r="K32" t="s">
        <v>293</v>
      </c>
      <c r="L32">
        <v>1191</v>
      </c>
      <c r="N32">
        <v>1013</v>
      </c>
      <c r="O32" t="s">
        <v>209</v>
      </c>
      <c r="P32" t="s">
        <v>209</v>
      </c>
      <c r="Q32">
        <v>1</v>
      </c>
      <c r="W32">
        <v>0</v>
      </c>
      <c r="X32">
        <v>1608048003</v>
      </c>
      <c r="Y32">
        <f t="shared" ref="Y32:Y37" si="25">(AT32*ROUND(0.5,7))</f>
        <v>26.85</v>
      </c>
      <c r="AA32">
        <v>0</v>
      </c>
      <c r="AB32">
        <v>0</v>
      </c>
      <c r="AC32">
        <v>0</v>
      </c>
      <c r="AD32">
        <v>354.72</v>
      </c>
      <c r="AE32">
        <v>0</v>
      </c>
      <c r="AF32">
        <v>0</v>
      </c>
      <c r="AG32">
        <v>0</v>
      </c>
      <c r="AH32">
        <v>9.51</v>
      </c>
      <c r="AI32">
        <v>1</v>
      </c>
      <c r="AJ32">
        <v>1</v>
      </c>
      <c r="AK32">
        <v>1</v>
      </c>
      <c r="AL32">
        <v>37.299999999999997</v>
      </c>
      <c r="AM32">
        <v>4</v>
      </c>
      <c r="AN32">
        <v>0</v>
      </c>
      <c r="AO32">
        <v>1</v>
      </c>
      <c r="AP32">
        <v>1</v>
      </c>
      <c r="AQ32">
        <v>0</v>
      </c>
      <c r="AR32">
        <v>0</v>
      </c>
      <c r="AS32" t="s">
        <v>3</v>
      </c>
      <c r="AT32">
        <v>53.7</v>
      </c>
      <c r="AU32" t="s">
        <v>66</v>
      </c>
      <c r="AV32">
        <v>1</v>
      </c>
      <c r="AW32">
        <v>2</v>
      </c>
      <c r="AX32">
        <v>60564141</v>
      </c>
      <c r="AY32">
        <v>1</v>
      </c>
      <c r="AZ32">
        <v>0</v>
      </c>
      <c r="BA32">
        <v>32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U32">
        <f>ROUND(AT32*Source!I30*AH32*AL32,0)</f>
        <v>0</v>
      </c>
      <c r="CV32">
        <f>ROUND(Y32*Source!I30,7)</f>
        <v>0</v>
      </c>
      <c r="CW32">
        <v>0</v>
      </c>
      <c r="CX32">
        <f>ROUND(Y32*Source!I30,7)</f>
        <v>0</v>
      </c>
      <c r="CY32">
        <f>AD32</f>
        <v>354.72</v>
      </c>
      <c r="CZ32">
        <f>AH32</f>
        <v>9.51</v>
      </c>
      <c r="DA32">
        <f>AL32</f>
        <v>37.299999999999997</v>
      </c>
      <c r="DB32">
        <f t="shared" ref="DB32:DB37" si="26">ROUND((ROUND(AT32*CZ32,2)*ROUND(0.5,7)),2)</f>
        <v>255.35</v>
      </c>
      <c r="DC32">
        <f t="shared" ref="DC32:DC37" si="27">ROUND((ROUND(AT32*AG32,2)*ROUND(0.5,7)),2)</f>
        <v>0</v>
      </c>
      <c r="DD32" t="s">
        <v>3</v>
      </c>
      <c r="DE32" t="s">
        <v>3</v>
      </c>
      <c r="DF32">
        <f t="shared" ref="DF32:DF37" si="28">ROUND(ROUND(AE32,0)*CX32,0)</f>
        <v>0</v>
      </c>
      <c r="DG32">
        <f t="shared" si="22"/>
        <v>0</v>
      </c>
      <c r="DH32">
        <f t="shared" si="23"/>
        <v>0</v>
      </c>
      <c r="DI32">
        <f>ROUND(ROUND(AH32*AL32,0)*CX32,0)</f>
        <v>0</v>
      </c>
      <c r="DJ32">
        <f>DI32</f>
        <v>0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ROW(Source!A30)</f>
        <v>30</v>
      </c>
      <c r="B33">
        <v>60563954</v>
      </c>
      <c r="C33">
        <v>60564140</v>
      </c>
      <c r="D33">
        <v>44871042</v>
      </c>
      <c r="E33">
        <v>70</v>
      </c>
      <c r="F33">
        <v>1</v>
      </c>
      <c r="G33">
        <v>1</v>
      </c>
      <c r="H33">
        <v>1</v>
      </c>
      <c r="I33" t="s">
        <v>210</v>
      </c>
      <c r="J33" t="s">
        <v>3</v>
      </c>
      <c r="K33" t="s">
        <v>211</v>
      </c>
      <c r="L33">
        <v>1191</v>
      </c>
      <c r="N33">
        <v>1013</v>
      </c>
      <c r="O33" t="s">
        <v>209</v>
      </c>
      <c r="P33" t="s">
        <v>209</v>
      </c>
      <c r="Q33">
        <v>1</v>
      </c>
      <c r="W33">
        <v>0</v>
      </c>
      <c r="X33">
        <v>-1417349443</v>
      </c>
      <c r="Y33">
        <f t="shared" si="25"/>
        <v>4.415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37.299999999999997</v>
      </c>
      <c r="AL33">
        <v>1</v>
      </c>
      <c r="AM33">
        <v>4</v>
      </c>
      <c r="AN33">
        <v>0</v>
      </c>
      <c r="AO33">
        <v>1</v>
      </c>
      <c r="AP33">
        <v>1</v>
      </c>
      <c r="AQ33">
        <v>0</v>
      </c>
      <c r="AR33">
        <v>0</v>
      </c>
      <c r="AS33" t="s">
        <v>3</v>
      </c>
      <c r="AT33">
        <v>8.83</v>
      </c>
      <c r="AU33" t="s">
        <v>66</v>
      </c>
      <c r="AV33">
        <v>2</v>
      </c>
      <c r="AW33">
        <v>2</v>
      </c>
      <c r="AX33">
        <v>60564142</v>
      </c>
      <c r="AY33">
        <v>1</v>
      </c>
      <c r="AZ33">
        <v>0</v>
      </c>
      <c r="BA33">
        <v>33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V33">
        <v>0</v>
      </c>
      <c r="CW33">
        <v>0</v>
      </c>
      <c r="CX33">
        <f>ROUND(Y33*Source!I30,7)</f>
        <v>0</v>
      </c>
      <c r="CY33">
        <f>AD33</f>
        <v>0</v>
      </c>
      <c r="CZ33">
        <f>AH33</f>
        <v>0</v>
      </c>
      <c r="DA33">
        <f>AL33</f>
        <v>1</v>
      </c>
      <c r="DB33">
        <f t="shared" si="26"/>
        <v>0</v>
      </c>
      <c r="DC33">
        <f t="shared" si="27"/>
        <v>0</v>
      </c>
      <c r="DD33" t="s">
        <v>3</v>
      </c>
      <c r="DE33" t="s">
        <v>3</v>
      </c>
      <c r="DF33">
        <f t="shared" si="28"/>
        <v>0</v>
      </c>
      <c r="DG33">
        <f t="shared" si="22"/>
        <v>0</v>
      </c>
      <c r="DH33">
        <f>ROUND(ROUND(AG33*AK33,0)*CX33,0)</f>
        <v>0</v>
      </c>
      <c r="DI33">
        <f t="shared" ref="DI33:DI43" si="29">ROUND(ROUND(AH33,0)*CX33,0)</f>
        <v>0</v>
      </c>
      <c r="DJ33">
        <f>DI33</f>
        <v>0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ROW(Source!A30)</f>
        <v>30</v>
      </c>
      <c r="B34">
        <v>60563954</v>
      </c>
      <c r="C34">
        <v>60564140</v>
      </c>
      <c r="D34">
        <v>45032707</v>
      </c>
      <c r="E34">
        <v>1</v>
      </c>
      <c r="F34">
        <v>1</v>
      </c>
      <c r="G34">
        <v>1</v>
      </c>
      <c r="H34">
        <v>2</v>
      </c>
      <c r="I34" t="s">
        <v>233</v>
      </c>
      <c r="J34" t="s">
        <v>234</v>
      </c>
      <c r="K34" t="s">
        <v>235</v>
      </c>
      <c r="L34">
        <v>1367</v>
      </c>
      <c r="N34">
        <v>1011</v>
      </c>
      <c r="O34" t="s">
        <v>215</v>
      </c>
      <c r="P34" t="s">
        <v>215</v>
      </c>
      <c r="Q34">
        <v>1</v>
      </c>
      <c r="W34">
        <v>0</v>
      </c>
      <c r="X34">
        <v>-430484415</v>
      </c>
      <c r="Y34">
        <f t="shared" si="25"/>
        <v>3.5449999999999999</v>
      </c>
      <c r="AA34">
        <v>0</v>
      </c>
      <c r="AB34">
        <v>1647.91</v>
      </c>
      <c r="AC34">
        <v>503.55</v>
      </c>
      <c r="AD34">
        <v>0</v>
      </c>
      <c r="AE34">
        <v>0</v>
      </c>
      <c r="AF34">
        <v>115.4</v>
      </c>
      <c r="AG34">
        <v>13.5</v>
      </c>
      <c r="AH34">
        <v>0</v>
      </c>
      <c r="AI34">
        <v>1</v>
      </c>
      <c r="AJ34">
        <v>14.28</v>
      </c>
      <c r="AK34">
        <v>37.299999999999997</v>
      </c>
      <c r="AL34">
        <v>1</v>
      </c>
      <c r="AM34">
        <v>4</v>
      </c>
      <c r="AN34">
        <v>0</v>
      </c>
      <c r="AO34">
        <v>1</v>
      </c>
      <c r="AP34">
        <v>1</v>
      </c>
      <c r="AQ34">
        <v>0</v>
      </c>
      <c r="AR34">
        <v>0</v>
      </c>
      <c r="AS34" t="s">
        <v>3</v>
      </c>
      <c r="AT34">
        <v>7.09</v>
      </c>
      <c r="AU34" t="s">
        <v>294</v>
      </c>
      <c r="AV34">
        <v>0</v>
      </c>
      <c r="AW34">
        <v>2</v>
      </c>
      <c r="AX34">
        <v>60564143</v>
      </c>
      <c r="AY34">
        <v>1</v>
      </c>
      <c r="AZ34">
        <v>0</v>
      </c>
      <c r="BA34">
        <v>34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V34">
        <v>0</v>
      </c>
      <c r="CW34">
        <f>ROUND(Y34*Source!I30*DO34,7)</f>
        <v>0</v>
      </c>
      <c r="CX34">
        <f>ROUND(Y34*Source!I30,7)</f>
        <v>0</v>
      </c>
      <c r="CY34">
        <f>AB34</f>
        <v>1647.91</v>
      </c>
      <c r="CZ34">
        <f>AF34</f>
        <v>115.4</v>
      </c>
      <c r="DA34">
        <f>AJ34</f>
        <v>14.28</v>
      </c>
      <c r="DB34">
        <f t="shared" si="26"/>
        <v>409.1</v>
      </c>
      <c r="DC34">
        <f t="shared" si="27"/>
        <v>47.86</v>
      </c>
      <c r="DD34" t="s">
        <v>3</v>
      </c>
      <c r="DE34" t="s">
        <v>3</v>
      </c>
      <c r="DF34">
        <f t="shared" si="28"/>
        <v>0</v>
      </c>
      <c r="DG34">
        <f>ROUND(ROUND(AF34*AJ34,0)*CX34,0)</f>
        <v>0</v>
      </c>
      <c r="DH34">
        <f>ROUND(ROUND(AG34*AK34,0)*CX34,0)</f>
        <v>0</v>
      </c>
      <c r="DI34">
        <f t="shared" si="29"/>
        <v>0</v>
      </c>
      <c r="DJ34">
        <f>DG34</f>
        <v>0</v>
      </c>
      <c r="DK34">
        <v>0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ROW(Source!A30)</f>
        <v>30</v>
      </c>
      <c r="B35">
        <v>60563954</v>
      </c>
      <c r="C35">
        <v>60564140</v>
      </c>
      <c r="D35">
        <v>45032844</v>
      </c>
      <c r="E35">
        <v>1</v>
      </c>
      <c r="F35">
        <v>1</v>
      </c>
      <c r="G35">
        <v>1</v>
      </c>
      <c r="H35">
        <v>2</v>
      </c>
      <c r="I35" t="s">
        <v>295</v>
      </c>
      <c r="J35" t="s">
        <v>296</v>
      </c>
      <c r="K35" t="s">
        <v>297</v>
      </c>
      <c r="L35">
        <v>1367</v>
      </c>
      <c r="N35">
        <v>1011</v>
      </c>
      <c r="O35" t="s">
        <v>215</v>
      </c>
      <c r="P35" t="s">
        <v>215</v>
      </c>
      <c r="Q35">
        <v>1</v>
      </c>
      <c r="W35">
        <v>0</v>
      </c>
      <c r="X35">
        <v>-382331097</v>
      </c>
      <c r="Y35">
        <f t="shared" si="25"/>
        <v>0.52</v>
      </c>
      <c r="AA35">
        <v>0</v>
      </c>
      <c r="AB35">
        <v>98.53</v>
      </c>
      <c r="AC35">
        <v>0</v>
      </c>
      <c r="AD35">
        <v>0</v>
      </c>
      <c r="AE35">
        <v>0</v>
      </c>
      <c r="AF35">
        <v>6.9</v>
      </c>
      <c r="AG35">
        <v>0</v>
      </c>
      <c r="AH35">
        <v>0</v>
      </c>
      <c r="AI35">
        <v>1</v>
      </c>
      <c r="AJ35">
        <v>14.28</v>
      </c>
      <c r="AK35">
        <v>37.299999999999997</v>
      </c>
      <c r="AL35">
        <v>1</v>
      </c>
      <c r="AM35">
        <v>4</v>
      </c>
      <c r="AN35">
        <v>0</v>
      </c>
      <c r="AO35">
        <v>1</v>
      </c>
      <c r="AP35">
        <v>1</v>
      </c>
      <c r="AQ35">
        <v>0</v>
      </c>
      <c r="AR35">
        <v>0</v>
      </c>
      <c r="AS35" t="s">
        <v>3</v>
      </c>
      <c r="AT35">
        <v>1.04</v>
      </c>
      <c r="AU35" t="s">
        <v>294</v>
      </c>
      <c r="AV35">
        <v>0</v>
      </c>
      <c r="AW35">
        <v>2</v>
      </c>
      <c r="AX35">
        <v>60564144</v>
      </c>
      <c r="AY35">
        <v>1</v>
      </c>
      <c r="AZ35">
        <v>0</v>
      </c>
      <c r="BA35">
        <v>35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V35">
        <v>0</v>
      </c>
      <c r="CW35">
        <f>ROUND(Y35*Source!I30*DO35,7)</f>
        <v>0</v>
      </c>
      <c r="CX35">
        <f>ROUND(Y35*Source!I30,7)</f>
        <v>0</v>
      </c>
      <c r="CY35">
        <f>AB35</f>
        <v>98.53</v>
      </c>
      <c r="CZ35">
        <f>AF35</f>
        <v>6.9</v>
      </c>
      <c r="DA35">
        <f>AJ35</f>
        <v>14.28</v>
      </c>
      <c r="DB35">
        <f t="shared" si="26"/>
        <v>3.59</v>
      </c>
      <c r="DC35">
        <f t="shared" si="27"/>
        <v>0</v>
      </c>
      <c r="DD35" t="s">
        <v>3</v>
      </c>
      <c r="DE35" t="s">
        <v>3</v>
      </c>
      <c r="DF35">
        <f t="shared" si="28"/>
        <v>0</v>
      </c>
      <c r="DG35">
        <f>ROUND(ROUND(AF35*AJ35,0)*CX35,0)</f>
        <v>0</v>
      </c>
      <c r="DH35">
        <f>ROUND(ROUND(AG35*AK35,0)*CX35,0)</f>
        <v>0</v>
      </c>
      <c r="DI35">
        <f t="shared" si="29"/>
        <v>0</v>
      </c>
      <c r="DJ35">
        <f>DG35</f>
        <v>0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ROW(Source!A30)</f>
        <v>30</v>
      </c>
      <c r="B36">
        <v>60563954</v>
      </c>
      <c r="C36">
        <v>60564140</v>
      </c>
      <c r="D36">
        <v>45033637</v>
      </c>
      <c r="E36">
        <v>1</v>
      </c>
      <c r="F36">
        <v>1</v>
      </c>
      <c r="G36">
        <v>1</v>
      </c>
      <c r="H36">
        <v>2</v>
      </c>
      <c r="I36" t="s">
        <v>212</v>
      </c>
      <c r="J36" t="s">
        <v>213</v>
      </c>
      <c r="K36" t="s">
        <v>214</v>
      </c>
      <c r="L36">
        <v>1367</v>
      </c>
      <c r="N36">
        <v>1011</v>
      </c>
      <c r="O36" t="s">
        <v>215</v>
      </c>
      <c r="P36" t="s">
        <v>215</v>
      </c>
      <c r="Q36">
        <v>1</v>
      </c>
      <c r="W36">
        <v>0</v>
      </c>
      <c r="X36">
        <v>509054691</v>
      </c>
      <c r="Y36">
        <f t="shared" si="25"/>
        <v>0.87</v>
      </c>
      <c r="AA36">
        <v>0</v>
      </c>
      <c r="AB36">
        <v>938.34</v>
      </c>
      <c r="AC36">
        <v>432.68</v>
      </c>
      <c r="AD36">
        <v>0</v>
      </c>
      <c r="AE36">
        <v>0</v>
      </c>
      <c r="AF36">
        <v>65.709999999999994</v>
      </c>
      <c r="AG36">
        <v>11.6</v>
      </c>
      <c r="AH36">
        <v>0</v>
      </c>
      <c r="AI36">
        <v>1</v>
      </c>
      <c r="AJ36">
        <v>14.28</v>
      </c>
      <c r="AK36">
        <v>37.299999999999997</v>
      </c>
      <c r="AL36">
        <v>1</v>
      </c>
      <c r="AM36">
        <v>4</v>
      </c>
      <c r="AN36">
        <v>0</v>
      </c>
      <c r="AO36">
        <v>1</v>
      </c>
      <c r="AP36">
        <v>1</v>
      </c>
      <c r="AQ36">
        <v>0</v>
      </c>
      <c r="AR36">
        <v>0</v>
      </c>
      <c r="AS36" t="s">
        <v>3</v>
      </c>
      <c r="AT36">
        <v>1.74</v>
      </c>
      <c r="AU36" t="s">
        <v>294</v>
      </c>
      <c r="AV36">
        <v>0</v>
      </c>
      <c r="AW36">
        <v>2</v>
      </c>
      <c r="AX36">
        <v>60564145</v>
      </c>
      <c r="AY36">
        <v>1</v>
      </c>
      <c r="AZ36">
        <v>0</v>
      </c>
      <c r="BA36">
        <v>36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V36">
        <v>0</v>
      </c>
      <c r="CW36">
        <f>ROUND(Y36*Source!I30*DO36,7)</f>
        <v>0</v>
      </c>
      <c r="CX36">
        <f>ROUND(Y36*Source!I30,7)</f>
        <v>0</v>
      </c>
      <c r="CY36">
        <f>AB36</f>
        <v>938.34</v>
      </c>
      <c r="CZ36">
        <f>AF36</f>
        <v>65.709999999999994</v>
      </c>
      <c r="DA36">
        <f>AJ36</f>
        <v>14.28</v>
      </c>
      <c r="DB36">
        <f t="shared" si="26"/>
        <v>57.17</v>
      </c>
      <c r="DC36">
        <f t="shared" si="27"/>
        <v>10.09</v>
      </c>
      <c r="DD36" t="s">
        <v>3</v>
      </c>
      <c r="DE36" t="s">
        <v>3</v>
      </c>
      <c r="DF36">
        <f t="shared" si="28"/>
        <v>0</v>
      </c>
      <c r="DG36">
        <f>ROUND(ROUND(AF36*AJ36,0)*CX36,0)</f>
        <v>0</v>
      </c>
      <c r="DH36">
        <f>ROUND(ROUND(AG36*AK36,0)*CX36,0)</f>
        <v>0</v>
      </c>
      <c r="DI36">
        <f t="shared" si="29"/>
        <v>0</v>
      </c>
      <c r="DJ36">
        <f>DG36</f>
        <v>0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ROW(Source!A30)</f>
        <v>30</v>
      </c>
      <c r="B37">
        <v>60563954</v>
      </c>
      <c r="C37">
        <v>60564140</v>
      </c>
      <c r="D37">
        <v>45033849</v>
      </c>
      <c r="E37">
        <v>1</v>
      </c>
      <c r="F37">
        <v>1</v>
      </c>
      <c r="G37">
        <v>1</v>
      </c>
      <c r="H37">
        <v>2</v>
      </c>
      <c r="I37" t="s">
        <v>298</v>
      </c>
      <c r="J37" t="s">
        <v>299</v>
      </c>
      <c r="K37" t="s">
        <v>300</v>
      </c>
      <c r="L37">
        <v>1367</v>
      </c>
      <c r="N37">
        <v>1011</v>
      </c>
      <c r="O37" t="s">
        <v>215</v>
      </c>
      <c r="P37" t="s">
        <v>215</v>
      </c>
      <c r="Q37">
        <v>1</v>
      </c>
      <c r="W37">
        <v>0</v>
      </c>
      <c r="X37">
        <v>829370094</v>
      </c>
      <c r="Y37">
        <f t="shared" si="25"/>
        <v>2.67</v>
      </c>
      <c r="AA37">
        <v>0</v>
      </c>
      <c r="AB37">
        <v>115.67</v>
      </c>
      <c r="AC37">
        <v>0</v>
      </c>
      <c r="AD37">
        <v>0</v>
      </c>
      <c r="AE37">
        <v>0</v>
      </c>
      <c r="AF37">
        <v>8.1</v>
      </c>
      <c r="AG37">
        <v>0</v>
      </c>
      <c r="AH37">
        <v>0</v>
      </c>
      <c r="AI37">
        <v>1</v>
      </c>
      <c r="AJ37">
        <v>14.28</v>
      </c>
      <c r="AK37">
        <v>37.299999999999997</v>
      </c>
      <c r="AL37">
        <v>1</v>
      </c>
      <c r="AM37">
        <v>4</v>
      </c>
      <c r="AN37">
        <v>0</v>
      </c>
      <c r="AO37">
        <v>1</v>
      </c>
      <c r="AP37">
        <v>1</v>
      </c>
      <c r="AQ37">
        <v>0</v>
      </c>
      <c r="AR37">
        <v>0</v>
      </c>
      <c r="AS37" t="s">
        <v>3</v>
      </c>
      <c r="AT37">
        <v>5.34</v>
      </c>
      <c r="AU37" t="s">
        <v>294</v>
      </c>
      <c r="AV37">
        <v>0</v>
      </c>
      <c r="AW37">
        <v>2</v>
      </c>
      <c r="AX37">
        <v>60564146</v>
      </c>
      <c r="AY37">
        <v>1</v>
      </c>
      <c r="AZ37">
        <v>0</v>
      </c>
      <c r="BA37">
        <v>37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f>ROUND(Y37*Source!I30*DO37,7)</f>
        <v>0</v>
      </c>
      <c r="CX37">
        <f>ROUND(Y37*Source!I30,7)</f>
        <v>0</v>
      </c>
      <c r="CY37">
        <f>AB37</f>
        <v>115.67</v>
      </c>
      <c r="CZ37">
        <f>AF37</f>
        <v>8.1</v>
      </c>
      <c r="DA37">
        <f>AJ37</f>
        <v>14.28</v>
      </c>
      <c r="DB37">
        <f t="shared" si="26"/>
        <v>21.63</v>
      </c>
      <c r="DC37">
        <f t="shared" si="27"/>
        <v>0</v>
      </c>
      <c r="DD37" t="s">
        <v>3</v>
      </c>
      <c r="DE37" t="s">
        <v>3</v>
      </c>
      <c r="DF37">
        <f t="shared" si="28"/>
        <v>0</v>
      </c>
      <c r="DG37">
        <f>ROUND(ROUND(AF37*AJ37,0)*CX37,0)</f>
        <v>0</v>
      </c>
      <c r="DH37">
        <f>ROUND(ROUND(AG37*AK37,0)*CX37,0)</f>
        <v>0</v>
      </c>
      <c r="DI37">
        <f t="shared" si="29"/>
        <v>0</v>
      </c>
      <c r="DJ37">
        <f>DG37</f>
        <v>0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ROW(Source!A30)</f>
        <v>30</v>
      </c>
      <c r="B38">
        <v>60563954</v>
      </c>
      <c r="C38">
        <v>60564140</v>
      </c>
      <c r="D38">
        <v>44883334</v>
      </c>
      <c r="E38">
        <v>1</v>
      </c>
      <c r="F38">
        <v>1</v>
      </c>
      <c r="G38">
        <v>1</v>
      </c>
      <c r="H38">
        <v>3</v>
      </c>
      <c r="I38" t="s">
        <v>301</v>
      </c>
      <c r="J38" t="s">
        <v>302</v>
      </c>
      <c r="K38" t="s">
        <v>303</v>
      </c>
      <c r="L38">
        <v>1339</v>
      </c>
      <c r="N38">
        <v>1007</v>
      </c>
      <c r="O38" t="s">
        <v>219</v>
      </c>
      <c r="P38" t="s">
        <v>219</v>
      </c>
      <c r="Q38">
        <v>1</v>
      </c>
      <c r="W38">
        <v>0</v>
      </c>
      <c r="X38">
        <v>-143474561</v>
      </c>
      <c r="Y38">
        <f t="shared" ref="Y38:Y43" si="30">(AT38*ROUND(0,7))</f>
        <v>0</v>
      </c>
      <c r="AA38">
        <v>24.86</v>
      </c>
      <c r="AB38">
        <v>0</v>
      </c>
      <c r="AC38">
        <v>0</v>
      </c>
      <c r="AD38">
        <v>0</v>
      </c>
      <c r="AE38">
        <v>2.44</v>
      </c>
      <c r="AF38">
        <v>0</v>
      </c>
      <c r="AG38">
        <v>0</v>
      </c>
      <c r="AH38">
        <v>0</v>
      </c>
      <c r="AI38">
        <v>10.19</v>
      </c>
      <c r="AJ38">
        <v>1</v>
      </c>
      <c r="AK38">
        <v>1</v>
      </c>
      <c r="AL38">
        <v>1</v>
      </c>
      <c r="AM38">
        <v>4</v>
      </c>
      <c r="AN38">
        <v>0</v>
      </c>
      <c r="AO38">
        <v>1</v>
      </c>
      <c r="AP38">
        <v>1</v>
      </c>
      <c r="AQ38">
        <v>0</v>
      </c>
      <c r="AR38">
        <v>0</v>
      </c>
      <c r="AS38" t="s">
        <v>3</v>
      </c>
      <c r="AT38">
        <v>15</v>
      </c>
      <c r="AU38" t="s">
        <v>45</v>
      </c>
      <c r="AV38">
        <v>0</v>
      </c>
      <c r="AW38">
        <v>2</v>
      </c>
      <c r="AX38">
        <v>60564147</v>
      </c>
      <c r="AY38">
        <v>1</v>
      </c>
      <c r="AZ38">
        <v>0</v>
      </c>
      <c r="BA38">
        <v>38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V38">
        <v>0</v>
      </c>
      <c r="CW38">
        <v>0</v>
      </c>
      <c r="CX38">
        <f>ROUND(Y38*Source!I30,7)</f>
        <v>0</v>
      </c>
      <c r="CY38">
        <f t="shared" ref="CY38:CY43" si="31">AA38</f>
        <v>24.86</v>
      </c>
      <c r="CZ38">
        <f t="shared" ref="CZ38:CZ43" si="32">AE38</f>
        <v>2.44</v>
      </c>
      <c r="DA38">
        <f t="shared" ref="DA38:DA43" si="33">AI38</f>
        <v>10.19</v>
      </c>
      <c r="DB38">
        <f t="shared" ref="DB38:DB43" si="34">ROUND((ROUND(AT38*CZ38,2)*ROUND(0,7)),2)</f>
        <v>0</v>
      </c>
      <c r="DC38">
        <f t="shared" ref="DC38:DC43" si="35">ROUND((ROUND(AT38*AG38,2)*ROUND(0,7)),2)</f>
        <v>0</v>
      </c>
      <c r="DD38" t="s">
        <v>3</v>
      </c>
      <c r="DE38" t="s">
        <v>3</v>
      </c>
      <c r="DF38">
        <f t="shared" ref="DF38:DF43" si="36">ROUND(ROUND(AE38*AI38,0)*CX38,0)</f>
        <v>0</v>
      </c>
      <c r="DG38">
        <f t="shared" ref="DG38:DG45" si="37">ROUND(ROUND(AF38,0)*CX38,0)</f>
        <v>0</v>
      </c>
      <c r="DH38">
        <f t="shared" ref="DH38:DH44" si="38">ROUND(ROUND(AG38,0)*CX38,0)</f>
        <v>0</v>
      </c>
      <c r="DI38">
        <f t="shared" si="29"/>
        <v>0</v>
      </c>
      <c r="DJ38">
        <f t="shared" ref="DJ38:DJ43" si="39">DF38</f>
        <v>0</v>
      </c>
      <c r="DK38">
        <v>0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ROW(Source!A30)</f>
        <v>30</v>
      </c>
      <c r="B39">
        <v>60563954</v>
      </c>
      <c r="C39">
        <v>60564140</v>
      </c>
      <c r="D39">
        <v>44883346</v>
      </c>
      <c r="E39">
        <v>1</v>
      </c>
      <c r="F39">
        <v>1</v>
      </c>
      <c r="G39">
        <v>1</v>
      </c>
      <c r="H39">
        <v>3</v>
      </c>
      <c r="I39" t="s">
        <v>304</v>
      </c>
      <c r="J39" t="s">
        <v>305</v>
      </c>
      <c r="K39" t="s">
        <v>306</v>
      </c>
      <c r="L39">
        <v>1383</v>
      </c>
      <c r="N39">
        <v>1013</v>
      </c>
      <c r="O39" t="s">
        <v>307</v>
      </c>
      <c r="P39" t="s">
        <v>307</v>
      </c>
      <c r="Q39">
        <v>1</v>
      </c>
      <c r="W39">
        <v>0</v>
      </c>
      <c r="X39">
        <v>-180864722</v>
      </c>
      <c r="Y39">
        <f t="shared" si="30"/>
        <v>0</v>
      </c>
      <c r="AA39">
        <v>4.08</v>
      </c>
      <c r="AB39">
        <v>0</v>
      </c>
      <c r="AC39">
        <v>0</v>
      </c>
      <c r="AD39">
        <v>0</v>
      </c>
      <c r="AE39">
        <v>0.4</v>
      </c>
      <c r="AF39">
        <v>0</v>
      </c>
      <c r="AG39">
        <v>0</v>
      </c>
      <c r="AH39">
        <v>0</v>
      </c>
      <c r="AI39">
        <v>10.19</v>
      </c>
      <c r="AJ39">
        <v>1</v>
      </c>
      <c r="AK39">
        <v>1</v>
      </c>
      <c r="AL39">
        <v>1</v>
      </c>
      <c r="AM39">
        <v>4</v>
      </c>
      <c r="AN39">
        <v>0</v>
      </c>
      <c r="AO39">
        <v>1</v>
      </c>
      <c r="AP39">
        <v>1</v>
      </c>
      <c r="AQ39">
        <v>0</v>
      </c>
      <c r="AR39">
        <v>0</v>
      </c>
      <c r="AS39" t="s">
        <v>3</v>
      </c>
      <c r="AT39">
        <v>2.9</v>
      </c>
      <c r="AU39" t="s">
        <v>45</v>
      </c>
      <c r="AV39">
        <v>0</v>
      </c>
      <c r="AW39">
        <v>2</v>
      </c>
      <c r="AX39">
        <v>60564148</v>
      </c>
      <c r="AY39">
        <v>1</v>
      </c>
      <c r="AZ39">
        <v>0</v>
      </c>
      <c r="BA39">
        <v>39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V39">
        <v>0</v>
      </c>
      <c r="CW39">
        <v>0</v>
      </c>
      <c r="CX39">
        <f>ROUND(Y39*Source!I30,7)</f>
        <v>0</v>
      </c>
      <c r="CY39">
        <f t="shared" si="31"/>
        <v>4.08</v>
      </c>
      <c r="CZ39">
        <f t="shared" si="32"/>
        <v>0.4</v>
      </c>
      <c r="DA39">
        <f t="shared" si="33"/>
        <v>10.19</v>
      </c>
      <c r="DB39">
        <f t="shared" si="34"/>
        <v>0</v>
      </c>
      <c r="DC39">
        <f t="shared" si="35"/>
        <v>0</v>
      </c>
      <c r="DD39" t="s">
        <v>3</v>
      </c>
      <c r="DE39" t="s">
        <v>3</v>
      </c>
      <c r="DF39">
        <f t="shared" si="36"/>
        <v>0</v>
      </c>
      <c r="DG39">
        <f t="shared" si="37"/>
        <v>0</v>
      </c>
      <c r="DH39">
        <f t="shared" si="38"/>
        <v>0</v>
      </c>
      <c r="DI39">
        <f t="shared" si="29"/>
        <v>0</v>
      </c>
      <c r="DJ39">
        <f t="shared" si="39"/>
        <v>0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ROW(Source!A30)</f>
        <v>30</v>
      </c>
      <c r="B40">
        <v>60563954</v>
      </c>
      <c r="C40">
        <v>60564140</v>
      </c>
      <c r="D40">
        <v>44884430</v>
      </c>
      <c r="E40">
        <v>1</v>
      </c>
      <c r="F40">
        <v>1</v>
      </c>
      <c r="G40">
        <v>1</v>
      </c>
      <c r="H40">
        <v>3</v>
      </c>
      <c r="I40" t="s">
        <v>308</v>
      </c>
      <c r="J40" t="s">
        <v>309</v>
      </c>
      <c r="K40" t="s">
        <v>310</v>
      </c>
      <c r="L40">
        <v>1348</v>
      </c>
      <c r="N40">
        <v>1009</v>
      </c>
      <c r="O40" t="s">
        <v>32</v>
      </c>
      <c r="P40" t="s">
        <v>32</v>
      </c>
      <c r="Q40">
        <v>1000</v>
      </c>
      <c r="W40">
        <v>0</v>
      </c>
      <c r="X40">
        <v>-2009187224</v>
      </c>
      <c r="Y40">
        <f t="shared" si="30"/>
        <v>0</v>
      </c>
      <c r="AA40">
        <v>128903.5</v>
      </c>
      <c r="AB40">
        <v>0</v>
      </c>
      <c r="AC40">
        <v>0</v>
      </c>
      <c r="AD40">
        <v>0</v>
      </c>
      <c r="AE40">
        <v>12650</v>
      </c>
      <c r="AF40">
        <v>0</v>
      </c>
      <c r="AG40">
        <v>0</v>
      </c>
      <c r="AH40">
        <v>0</v>
      </c>
      <c r="AI40">
        <v>10.19</v>
      </c>
      <c r="AJ40">
        <v>1</v>
      </c>
      <c r="AK40">
        <v>1</v>
      </c>
      <c r="AL40">
        <v>1</v>
      </c>
      <c r="AM40">
        <v>4</v>
      </c>
      <c r="AN40">
        <v>0</v>
      </c>
      <c r="AO40">
        <v>1</v>
      </c>
      <c r="AP40">
        <v>1</v>
      </c>
      <c r="AQ40">
        <v>0</v>
      </c>
      <c r="AR40">
        <v>0</v>
      </c>
      <c r="AS40" t="s">
        <v>3</v>
      </c>
      <c r="AT40">
        <v>2.5999999999999999E-3</v>
      </c>
      <c r="AU40" t="s">
        <v>45</v>
      </c>
      <c r="AV40">
        <v>0</v>
      </c>
      <c r="AW40">
        <v>2</v>
      </c>
      <c r="AX40">
        <v>60564149</v>
      </c>
      <c r="AY40">
        <v>1</v>
      </c>
      <c r="AZ40">
        <v>0</v>
      </c>
      <c r="BA40">
        <v>40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V40">
        <v>0</v>
      </c>
      <c r="CW40">
        <v>0</v>
      </c>
      <c r="CX40">
        <f>ROUND(Y40*Source!I30,7)</f>
        <v>0</v>
      </c>
      <c r="CY40">
        <f t="shared" si="31"/>
        <v>128903.5</v>
      </c>
      <c r="CZ40">
        <f t="shared" si="32"/>
        <v>12650</v>
      </c>
      <c r="DA40">
        <f t="shared" si="33"/>
        <v>10.19</v>
      </c>
      <c r="DB40">
        <f t="shared" si="34"/>
        <v>0</v>
      </c>
      <c r="DC40">
        <f t="shared" si="35"/>
        <v>0</v>
      </c>
      <c r="DD40" t="s">
        <v>3</v>
      </c>
      <c r="DE40" t="s">
        <v>3</v>
      </c>
      <c r="DF40">
        <f t="shared" si="36"/>
        <v>0</v>
      </c>
      <c r="DG40">
        <f t="shared" si="37"/>
        <v>0</v>
      </c>
      <c r="DH40">
        <f t="shared" si="38"/>
        <v>0</v>
      </c>
      <c r="DI40">
        <f t="shared" si="29"/>
        <v>0</v>
      </c>
      <c r="DJ40">
        <f t="shared" si="39"/>
        <v>0</v>
      </c>
      <c r="DK40">
        <v>0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ROW(Source!A30)</f>
        <v>30</v>
      </c>
      <c r="B41">
        <v>60563954</v>
      </c>
      <c r="C41">
        <v>60564140</v>
      </c>
      <c r="D41">
        <v>44900404</v>
      </c>
      <c r="E41">
        <v>1</v>
      </c>
      <c r="F41">
        <v>1</v>
      </c>
      <c r="G41">
        <v>1</v>
      </c>
      <c r="H41">
        <v>3</v>
      </c>
      <c r="I41" t="s">
        <v>311</v>
      </c>
      <c r="J41" t="s">
        <v>312</v>
      </c>
      <c r="K41" t="s">
        <v>313</v>
      </c>
      <c r="L41">
        <v>1346</v>
      </c>
      <c r="N41">
        <v>1009</v>
      </c>
      <c r="O41" t="s">
        <v>257</v>
      </c>
      <c r="P41" t="s">
        <v>257</v>
      </c>
      <c r="Q41">
        <v>1</v>
      </c>
      <c r="W41">
        <v>0</v>
      </c>
      <c r="X41">
        <v>1773482770</v>
      </c>
      <c r="Y41">
        <f t="shared" si="30"/>
        <v>0</v>
      </c>
      <c r="AA41">
        <v>128.38999999999999</v>
      </c>
      <c r="AB41">
        <v>0</v>
      </c>
      <c r="AC41">
        <v>0</v>
      </c>
      <c r="AD41">
        <v>0</v>
      </c>
      <c r="AE41">
        <v>12.6</v>
      </c>
      <c r="AF41">
        <v>0</v>
      </c>
      <c r="AG41">
        <v>0</v>
      </c>
      <c r="AH41">
        <v>0</v>
      </c>
      <c r="AI41">
        <v>10.19</v>
      </c>
      <c r="AJ41">
        <v>1</v>
      </c>
      <c r="AK41">
        <v>1</v>
      </c>
      <c r="AL41">
        <v>1</v>
      </c>
      <c r="AM41">
        <v>4</v>
      </c>
      <c r="AN41">
        <v>0</v>
      </c>
      <c r="AO41">
        <v>1</v>
      </c>
      <c r="AP41">
        <v>1</v>
      </c>
      <c r="AQ41">
        <v>0</v>
      </c>
      <c r="AR41">
        <v>0</v>
      </c>
      <c r="AS41" t="s">
        <v>3</v>
      </c>
      <c r="AT41">
        <v>3</v>
      </c>
      <c r="AU41" t="s">
        <v>45</v>
      </c>
      <c r="AV41">
        <v>0</v>
      </c>
      <c r="AW41">
        <v>2</v>
      </c>
      <c r="AX41">
        <v>60564150</v>
      </c>
      <c r="AY41">
        <v>1</v>
      </c>
      <c r="AZ41">
        <v>0</v>
      </c>
      <c r="BA41">
        <v>41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V41">
        <v>0</v>
      </c>
      <c r="CW41">
        <v>0</v>
      </c>
      <c r="CX41">
        <f>ROUND(Y41*Source!I30,7)</f>
        <v>0</v>
      </c>
      <c r="CY41">
        <f t="shared" si="31"/>
        <v>128.38999999999999</v>
      </c>
      <c r="CZ41">
        <f t="shared" si="32"/>
        <v>12.6</v>
      </c>
      <c r="DA41">
        <f t="shared" si="33"/>
        <v>10.19</v>
      </c>
      <c r="DB41">
        <f t="shared" si="34"/>
        <v>0</v>
      </c>
      <c r="DC41">
        <f t="shared" si="35"/>
        <v>0</v>
      </c>
      <c r="DD41" t="s">
        <v>3</v>
      </c>
      <c r="DE41" t="s">
        <v>3</v>
      </c>
      <c r="DF41">
        <f t="shared" si="36"/>
        <v>0</v>
      </c>
      <c r="DG41">
        <f t="shared" si="37"/>
        <v>0</v>
      </c>
      <c r="DH41">
        <f t="shared" si="38"/>
        <v>0</v>
      </c>
      <c r="DI41">
        <f t="shared" si="29"/>
        <v>0</v>
      </c>
      <c r="DJ41">
        <f t="shared" si="39"/>
        <v>0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ROW(Source!A30)</f>
        <v>30</v>
      </c>
      <c r="B42">
        <v>60563954</v>
      </c>
      <c r="C42">
        <v>60564140</v>
      </c>
      <c r="D42">
        <v>44875764</v>
      </c>
      <c r="E42">
        <v>70</v>
      </c>
      <c r="F42">
        <v>1</v>
      </c>
      <c r="G42">
        <v>1</v>
      </c>
      <c r="H42">
        <v>3</v>
      </c>
      <c r="I42" t="s">
        <v>75</v>
      </c>
      <c r="J42" t="s">
        <v>3</v>
      </c>
      <c r="K42" t="s">
        <v>76</v>
      </c>
      <c r="L42">
        <v>1348</v>
      </c>
      <c r="N42">
        <v>1009</v>
      </c>
      <c r="O42" t="s">
        <v>32</v>
      </c>
      <c r="P42" t="s">
        <v>32</v>
      </c>
      <c r="Q42">
        <v>1000</v>
      </c>
      <c r="W42">
        <v>0</v>
      </c>
      <c r="X42">
        <v>1392189009</v>
      </c>
      <c r="Y42">
        <f t="shared" si="30"/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10.19</v>
      </c>
      <c r="AJ42">
        <v>1</v>
      </c>
      <c r="AK42">
        <v>1</v>
      </c>
      <c r="AL42">
        <v>1</v>
      </c>
      <c r="AM42">
        <v>0</v>
      </c>
      <c r="AN42">
        <v>0</v>
      </c>
      <c r="AO42">
        <v>0</v>
      </c>
      <c r="AP42">
        <v>1</v>
      </c>
      <c r="AQ42">
        <v>0</v>
      </c>
      <c r="AR42">
        <v>0</v>
      </c>
      <c r="AS42" t="s">
        <v>3</v>
      </c>
      <c r="AT42">
        <v>3.16</v>
      </c>
      <c r="AU42" t="s">
        <v>45</v>
      </c>
      <c r="AV42">
        <v>0</v>
      </c>
      <c r="AW42">
        <v>2</v>
      </c>
      <c r="AX42">
        <v>60564151</v>
      </c>
      <c r="AY42">
        <v>1</v>
      </c>
      <c r="AZ42">
        <v>0</v>
      </c>
      <c r="BA42">
        <v>42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V42">
        <v>0</v>
      </c>
      <c r="CW42">
        <v>0</v>
      </c>
      <c r="CX42">
        <f>ROUND(Y42*Source!I30,7)</f>
        <v>0</v>
      </c>
      <c r="CY42">
        <f t="shared" si="31"/>
        <v>0</v>
      </c>
      <c r="CZ42">
        <f t="shared" si="32"/>
        <v>0</v>
      </c>
      <c r="DA42">
        <f t="shared" si="33"/>
        <v>10.19</v>
      </c>
      <c r="DB42">
        <f t="shared" si="34"/>
        <v>0</v>
      </c>
      <c r="DC42">
        <f t="shared" si="35"/>
        <v>0</v>
      </c>
      <c r="DD42" t="s">
        <v>3</v>
      </c>
      <c r="DE42" t="s">
        <v>3</v>
      </c>
      <c r="DF42">
        <f t="shared" si="36"/>
        <v>0</v>
      </c>
      <c r="DG42">
        <f t="shared" si="37"/>
        <v>0</v>
      </c>
      <c r="DH42">
        <f t="shared" si="38"/>
        <v>0</v>
      </c>
      <c r="DI42">
        <f t="shared" si="29"/>
        <v>0</v>
      </c>
      <c r="DJ42">
        <f t="shared" si="39"/>
        <v>0</v>
      </c>
      <c r="DK42">
        <v>0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ROW(Source!A30)</f>
        <v>30</v>
      </c>
      <c r="B43">
        <v>60563954</v>
      </c>
      <c r="C43">
        <v>60564140</v>
      </c>
      <c r="D43">
        <v>44875768</v>
      </c>
      <c r="E43">
        <v>70</v>
      </c>
      <c r="F43">
        <v>1</v>
      </c>
      <c r="G43">
        <v>1</v>
      </c>
      <c r="H43">
        <v>3</v>
      </c>
      <c r="I43" t="s">
        <v>314</v>
      </c>
      <c r="J43" t="s">
        <v>3</v>
      </c>
      <c r="K43" t="s">
        <v>315</v>
      </c>
      <c r="L43">
        <v>1374</v>
      </c>
      <c r="N43">
        <v>1013</v>
      </c>
      <c r="O43" t="s">
        <v>316</v>
      </c>
      <c r="P43" t="s">
        <v>316</v>
      </c>
      <c r="Q43">
        <v>1</v>
      </c>
      <c r="W43">
        <v>0</v>
      </c>
      <c r="X43">
        <v>-1731369543</v>
      </c>
      <c r="Y43">
        <f t="shared" si="30"/>
        <v>0</v>
      </c>
      <c r="AA43">
        <v>10.19</v>
      </c>
      <c r="AB43">
        <v>0</v>
      </c>
      <c r="AC43">
        <v>0</v>
      </c>
      <c r="AD43">
        <v>0</v>
      </c>
      <c r="AE43">
        <v>1</v>
      </c>
      <c r="AF43">
        <v>0</v>
      </c>
      <c r="AG43">
        <v>0</v>
      </c>
      <c r="AH43">
        <v>0</v>
      </c>
      <c r="AI43">
        <v>10.19</v>
      </c>
      <c r="AJ43">
        <v>1</v>
      </c>
      <c r="AK43">
        <v>1</v>
      </c>
      <c r="AL43">
        <v>1</v>
      </c>
      <c r="AM43">
        <v>4</v>
      </c>
      <c r="AN43">
        <v>0</v>
      </c>
      <c r="AO43">
        <v>1</v>
      </c>
      <c r="AP43">
        <v>1</v>
      </c>
      <c r="AQ43">
        <v>0</v>
      </c>
      <c r="AR43">
        <v>0</v>
      </c>
      <c r="AS43" t="s">
        <v>3</v>
      </c>
      <c r="AT43">
        <v>10.210000000000001</v>
      </c>
      <c r="AU43" t="s">
        <v>45</v>
      </c>
      <c r="AV43">
        <v>0</v>
      </c>
      <c r="AW43">
        <v>2</v>
      </c>
      <c r="AX43">
        <v>60564152</v>
      </c>
      <c r="AY43">
        <v>1</v>
      </c>
      <c r="AZ43">
        <v>0</v>
      </c>
      <c r="BA43">
        <v>43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V43">
        <v>0</v>
      </c>
      <c r="CW43">
        <v>0</v>
      </c>
      <c r="CX43">
        <f>ROUND(Y43*Source!I30,7)</f>
        <v>0</v>
      </c>
      <c r="CY43">
        <f t="shared" si="31"/>
        <v>10.19</v>
      </c>
      <c r="CZ43">
        <f t="shared" si="32"/>
        <v>1</v>
      </c>
      <c r="DA43">
        <f t="shared" si="33"/>
        <v>10.19</v>
      </c>
      <c r="DB43">
        <f t="shared" si="34"/>
        <v>0</v>
      </c>
      <c r="DC43">
        <f t="shared" si="35"/>
        <v>0</v>
      </c>
      <c r="DD43" t="s">
        <v>3</v>
      </c>
      <c r="DE43" t="s">
        <v>3</v>
      </c>
      <c r="DF43">
        <f t="shared" si="36"/>
        <v>0</v>
      </c>
      <c r="DG43">
        <f t="shared" si="37"/>
        <v>0</v>
      </c>
      <c r="DH43">
        <f t="shared" si="38"/>
        <v>0</v>
      </c>
      <c r="DI43">
        <f t="shared" si="29"/>
        <v>0</v>
      </c>
      <c r="DJ43">
        <f t="shared" si="39"/>
        <v>0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ROW(Source!A32)</f>
        <v>32</v>
      </c>
      <c r="B44">
        <v>60563954</v>
      </c>
      <c r="C44">
        <v>60564081</v>
      </c>
      <c r="D44">
        <v>44870926</v>
      </c>
      <c r="E44">
        <v>70</v>
      </c>
      <c r="F44">
        <v>1</v>
      </c>
      <c r="G44">
        <v>1</v>
      </c>
      <c r="H44">
        <v>1</v>
      </c>
      <c r="I44" t="s">
        <v>317</v>
      </c>
      <c r="J44" t="s">
        <v>3</v>
      </c>
      <c r="K44" t="s">
        <v>318</v>
      </c>
      <c r="L44">
        <v>1191</v>
      </c>
      <c r="N44">
        <v>1013</v>
      </c>
      <c r="O44" t="s">
        <v>209</v>
      </c>
      <c r="P44" t="s">
        <v>209</v>
      </c>
      <c r="Q44">
        <v>1</v>
      </c>
      <c r="W44">
        <v>0</v>
      </c>
      <c r="X44">
        <v>71966457</v>
      </c>
      <c r="Y44">
        <f t="shared" ref="Y44:Y54" si="40">(AT44*ROUND((0.7*1.04),7))</f>
        <v>13.831999999999999</v>
      </c>
      <c r="AA44">
        <v>0</v>
      </c>
      <c r="AB44">
        <v>0</v>
      </c>
      <c r="AC44">
        <v>0</v>
      </c>
      <c r="AD44">
        <v>413.66</v>
      </c>
      <c r="AE44">
        <v>0</v>
      </c>
      <c r="AF44">
        <v>0</v>
      </c>
      <c r="AG44">
        <v>0</v>
      </c>
      <c r="AH44">
        <v>11.09</v>
      </c>
      <c r="AI44">
        <v>1</v>
      </c>
      <c r="AJ44">
        <v>1</v>
      </c>
      <c r="AK44">
        <v>1</v>
      </c>
      <c r="AL44">
        <v>37.299999999999997</v>
      </c>
      <c r="AM44">
        <v>4</v>
      </c>
      <c r="AN44">
        <v>0</v>
      </c>
      <c r="AO44">
        <v>1</v>
      </c>
      <c r="AP44">
        <v>1</v>
      </c>
      <c r="AQ44">
        <v>0</v>
      </c>
      <c r="AR44">
        <v>0</v>
      </c>
      <c r="AS44" t="s">
        <v>3</v>
      </c>
      <c r="AT44">
        <v>19</v>
      </c>
      <c r="AU44" t="s">
        <v>82</v>
      </c>
      <c r="AV44">
        <v>1</v>
      </c>
      <c r="AW44">
        <v>2</v>
      </c>
      <c r="AX44">
        <v>60564083</v>
      </c>
      <c r="AY44">
        <v>1</v>
      </c>
      <c r="AZ44">
        <v>0</v>
      </c>
      <c r="BA44">
        <v>44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U44">
        <f>ROUND(AT44*Source!I32*AH44*AL44,0)</f>
        <v>0</v>
      </c>
      <c r="CV44">
        <f>ROUND(Y44*Source!I32,7)</f>
        <v>0</v>
      </c>
      <c r="CW44">
        <v>0</v>
      </c>
      <c r="CX44">
        <f>ROUND(Y44*Source!I32,7)</f>
        <v>0</v>
      </c>
      <c r="CY44">
        <f>AD44</f>
        <v>413.66</v>
      </c>
      <c r="CZ44">
        <f>AH44</f>
        <v>11.09</v>
      </c>
      <c r="DA44">
        <f>AL44</f>
        <v>37.299999999999997</v>
      </c>
      <c r="DB44">
        <f t="shared" ref="DB44:DB54" si="41">ROUND((ROUND(AT44*CZ44,2)*ROUND((0.7*1.04),7)),2)</f>
        <v>153.4</v>
      </c>
      <c r="DC44">
        <f t="shared" ref="DC44:DC54" si="42">ROUND((ROUND(AT44*AG44,2)*ROUND((0.7*1.04),7)),2)</f>
        <v>0</v>
      </c>
      <c r="DD44" t="s">
        <v>3</v>
      </c>
      <c r="DE44" t="s">
        <v>3</v>
      </c>
      <c r="DF44">
        <f t="shared" ref="DF44:DF54" si="43">ROUND(ROUND(AE44,0)*CX44,0)</f>
        <v>0</v>
      </c>
      <c r="DG44">
        <f t="shared" si="37"/>
        <v>0</v>
      </c>
      <c r="DH44">
        <f t="shared" si="38"/>
        <v>0</v>
      </c>
      <c r="DI44">
        <f>ROUND(ROUND(AH44*AL44,0)*CX44,0)</f>
        <v>0</v>
      </c>
      <c r="DJ44">
        <f>DI44</f>
        <v>0</v>
      </c>
      <c r="DK44">
        <v>0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ROW(Source!A32)</f>
        <v>32</v>
      </c>
      <c r="B45">
        <v>60563954</v>
      </c>
      <c r="C45">
        <v>60564081</v>
      </c>
      <c r="D45">
        <v>44871042</v>
      </c>
      <c r="E45">
        <v>70</v>
      </c>
      <c r="F45">
        <v>1</v>
      </c>
      <c r="G45">
        <v>1</v>
      </c>
      <c r="H45">
        <v>1</v>
      </c>
      <c r="I45" t="s">
        <v>210</v>
      </c>
      <c r="J45" t="s">
        <v>3</v>
      </c>
      <c r="K45" t="s">
        <v>211</v>
      </c>
      <c r="L45">
        <v>1191</v>
      </c>
      <c r="N45">
        <v>1013</v>
      </c>
      <c r="O45" t="s">
        <v>209</v>
      </c>
      <c r="P45" t="s">
        <v>209</v>
      </c>
      <c r="Q45">
        <v>1</v>
      </c>
      <c r="W45">
        <v>0</v>
      </c>
      <c r="X45">
        <v>-1417349443</v>
      </c>
      <c r="Y45">
        <f t="shared" si="40"/>
        <v>4.5354400000000004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37.299999999999997</v>
      </c>
      <c r="AL45">
        <v>1</v>
      </c>
      <c r="AM45">
        <v>4</v>
      </c>
      <c r="AN45">
        <v>0</v>
      </c>
      <c r="AO45">
        <v>1</v>
      </c>
      <c r="AP45">
        <v>1</v>
      </c>
      <c r="AQ45">
        <v>0</v>
      </c>
      <c r="AR45">
        <v>0</v>
      </c>
      <c r="AS45" t="s">
        <v>3</v>
      </c>
      <c r="AT45">
        <v>6.23</v>
      </c>
      <c r="AU45" t="s">
        <v>82</v>
      </c>
      <c r="AV45">
        <v>2</v>
      </c>
      <c r="AW45">
        <v>2</v>
      </c>
      <c r="AX45">
        <v>60564084</v>
      </c>
      <c r="AY45">
        <v>1</v>
      </c>
      <c r="AZ45">
        <v>0</v>
      </c>
      <c r="BA45">
        <v>45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V45">
        <v>0</v>
      </c>
      <c r="CW45">
        <v>0</v>
      </c>
      <c r="CX45">
        <f>ROUND(Y45*Source!I32,7)</f>
        <v>0</v>
      </c>
      <c r="CY45">
        <f>AD45</f>
        <v>0</v>
      </c>
      <c r="CZ45">
        <f>AH45</f>
        <v>0</v>
      </c>
      <c r="DA45">
        <f>AL45</f>
        <v>1</v>
      </c>
      <c r="DB45">
        <f t="shared" si="41"/>
        <v>0</v>
      </c>
      <c r="DC45">
        <f t="shared" si="42"/>
        <v>0</v>
      </c>
      <c r="DD45" t="s">
        <v>3</v>
      </c>
      <c r="DE45" t="s">
        <v>3</v>
      </c>
      <c r="DF45">
        <f t="shared" si="43"/>
        <v>0</v>
      </c>
      <c r="DG45">
        <f t="shared" si="37"/>
        <v>0</v>
      </c>
      <c r="DH45">
        <f t="shared" ref="DH45:DH54" si="44">ROUND(ROUND(AG45*AK45,0)*CX45,0)</f>
        <v>0</v>
      </c>
      <c r="DI45">
        <f t="shared" ref="DI45:DI73" si="45">ROUND(ROUND(AH45,0)*CX45,0)</f>
        <v>0</v>
      </c>
      <c r="DJ45">
        <f>DI45</f>
        <v>0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ROW(Source!A32)</f>
        <v>32</v>
      </c>
      <c r="B46">
        <v>60563954</v>
      </c>
      <c r="C46">
        <v>60564081</v>
      </c>
      <c r="D46">
        <v>45032707</v>
      </c>
      <c r="E46">
        <v>1</v>
      </c>
      <c r="F46">
        <v>1</v>
      </c>
      <c r="G46">
        <v>1</v>
      </c>
      <c r="H46">
        <v>2</v>
      </c>
      <c r="I46" t="s">
        <v>233</v>
      </c>
      <c r="J46" t="s">
        <v>234</v>
      </c>
      <c r="K46" t="s">
        <v>235</v>
      </c>
      <c r="L46">
        <v>1367</v>
      </c>
      <c r="N46">
        <v>1011</v>
      </c>
      <c r="O46" t="s">
        <v>215</v>
      </c>
      <c r="P46" t="s">
        <v>215</v>
      </c>
      <c r="Q46">
        <v>1</v>
      </c>
      <c r="W46">
        <v>0</v>
      </c>
      <c r="X46">
        <v>-430484415</v>
      </c>
      <c r="Y46">
        <f t="shared" si="40"/>
        <v>0.15287999999999999</v>
      </c>
      <c r="AA46">
        <v>0</v>
      </c>
      <c r="AB46">
        <v>1647.91</v>
      </c>
      <c r="AC46">
        <v>503.55</v>
      </c>
      <c r="AD46">
        <v>0</v>
      </c>
      <c r="AE46">
        <v>0</v>
      </c>
      <c r="AF46">
        <v>115.4</v>
      </c>
      <c r="AG46">
        <v>13.5</v>
      </c>
      <c r="AH46">
        <v>0</v>
      </c>
      <c r="AI46">
        <v>1</v>
      </c>
      <c r="AJ46">
        <v>14.28</v>
      </c>
      <c r="AK46">
        <v>37.299999999999997</v>
      </c>
      <c r="AL46">
        <v>1</v>
      </c>
      <c r="AM46">
        <v>4</v>
      </c>
      <c r="AN46">
        <v>0</v>
      </c>
      <c r="AO46">
        <v>1</v>
      </c>
      <c r="AP46">
        <v>1</v>
      </c>
      <c r="AQ46">
        <v>0</v>
      </c>
      <c r="AR46">
        <v>0</v>
      </c>
      <c r="AS46" t="s">
        <v>3</v>
      </c>
      <c r="AT46">
        <v>0.21</v>
      </c>
      <c r="AU46" t="s">
        <v>319</v>
      </c>
      <c r="AV46">
        <v>0</v>
      </c>
      <c r="AW46">
        <v>2</v>
      </c>
      <c r="AX46">
        <v>60564085</v>
      </c>
      <c r="AY46">
        <v>1</v>
      </c>
      <c r="AZ46">
        <v>0</v>
      </c>
      <c r="BA46">
        <v>46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V46">
        <v>0</v>
      </c>
      <c r="CW46">
        <f>ROUND(Y46*Source!I32*DO46,7)</f>
        <v>0</v>
      </c>
      <c r="CX46">
        <f>ROUND(Y46*Source!I32,7)</f>
        <v>0</v>
      </c>
      <c r="CY46">
        <f t="shared" ref="CY46:CY54" si="46">AB46</f>
        <v>1647.91</v>
      </c>
      <c r="CZ46">
        <f t="shared" ref="CZ46:CZ54" si="47">AF46</f>
        <v>115.4</v>
      </c>
      <c r="DA46">
        <f t="shared" ref="DA46:DA54" si="48">AJ46</f>
        <v>14.28</v>
      </c>
      <c r="DB46">
        <f t="shared" si="41"/>
        <v>17.64</v>
      </c>
      <c r="DC46">
        <f t="shared" si="42"/>
        <v>2.0699999999999998</v>
      </c>
      <c r="DD46" t="s">
        <v>3</v>
      </c>
      <c r="DE46" t="s">
        <v>3</v>
      </c>
      <c r="DF46">
        <f t="shared" si="43"/>
        <v>0</v>
      </c>
      <c r="DG46">
        <f t="shared" ref="DG46:DG54" si="49">ROUND(ROUND(AF46*AJ46,0)*CX46,0)</f>
        <v>0</v>
      </c>
      <c r="DH46">
        <f t="shared" si="44"/>
        <v>0</v>
      </c>
      <c r="DI46">
        <f t="shared" si="45"/>
        <v>0</v>
      </c>
      <c r="DJ46">
        <f t="shared" ref="DJ46:DJ54" si="50">DG46</f>
        <v>0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ROW(Source!A32)</f>
        <v>32</v>
      </c>
      <c r="B47">
        <v>60563954</v>
      </c>
      <c r="C47">
        <v>60564081</v>
      </c>
      <c r="D47">
        <v>45032713</v>
      </c>
      <c r="E47">
        <v>1</v>
      </c>
      <c r="F47">
        <v>1</v>
      </c>
      <c r="G47">
        <v>1</v>
      </c>
      <c r="H47">
        <v>2</v>
      </c>
      <c r="I47" t="s">
        <v>236</v>
      </c>
      <c r="J47" t="s">
        <v>237</v>
      </c>
      <c r="K47" t="s">
        <v>238</v>
      </c>
      <c r="L47">
        <v>1367</v>
      </c>
      <c r="N47">
        <v>1011</v>
      </c>
      <c r="O47" t="s">
        <v>215</v>
      </c>
      <c r="P47" t="s">
        <v>215</v>
      </c>
      <c r="Q47">
        <v>1</v>
      </c>
      <c r="W47">
        <v>0</v>
      </c>
      <c r="X47">
        <v>-1189221606</v>
      </c>
      <c r="Y47">
        <f t="shared" si="40"/>
        <v>3.0503200000000001</v>
      </c>
      <c r="AA47">
        <v>0</v>
      </c>
      <c r="AB47">
        <v>1714.17</v>
      </c>
      <c r="AC47">
        <v>503.55</v>
      </c>
      <c r="AD47">
        <v>0</v>
      </c>
      <c r="AE47">
        <v>0</v>
      </c>
      <c r="AF47">
        <v>120.04</v>
      </c>
      <c r="AG47">
        <v>13.5</v>
      </c>
      <c r="AH47">
        <v>0</v>
      </c>
      <c r="AI47">
        <v>1</v>
      </c>
      <c r="AJ47">
        <v>14.28</v>
      </c>
      <c r="AK47">
        <v>37.299999999999997</v>
      </c>
      <c r="AL47">
        <v>1</v>
      </c>
      <c r="AM47">
        <v>4</v>
      </c>
      <c r="AN47">
        <v>0</v>
      </c>
      <c r="AO47">
        <v>1</v>
      </c>
      <c r="AP47">
        <v>1</v>
      </c>
      <c r="AQ47">
        <v>0</v>
      </c>
      <c r="AR47">
        <v>0</v>
      </c>
      <c r="AS47" t="s">
        <v>3</v>
      </c>
      <c r="AT47">
        <v>4.1900000000000004</v>
      </c>
      <c r="AU47" t="s">
        <v>319</v>
      </c>
      <c r="AV47">
        <v>0</v>
      </c>
      <c r="AW47">
        <v>2</v>
      </c>
      <c r="AX47">
        <v>60564086</v>
      </c>
      <c r="AY47">
        <v>1</v>
      </c>
      <c r="AZ47">
        <v>0</v>
      </c>
      <c r="BA47">
        <v>47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V47">
        <v>0</v>
      </c>
      <c r="CW47">
        <f>ROUND(Y47*Source!I32*DO47,7)</f>
        <v>0</v>
      </c>
      <c r="CX47">
        <f>ROUND(Y47*Source!I32,7)</f>
        <v>0</v>
      </c>
      <c r="CY47">
        <f t="shared" si="46"/>
        <v>1714.17</v>
      </c>
      <c r="CZ47">
        <f t="shared" si="47"/>
        <v>120.04</v>
      </c>
      <c r="DA47">
        <f t="shared" si="48"/>
        <v>14.28</v>
      </c>
      <c r="DB47">
        <f t="shared" si="41"/>
        <v>366.16</v>
      </c>
      <c r="DC47">
        <f t="shared" si="42"/>
        <v>41.18</v>
      </c>
      <c r="DD47" t="s">
        <v>3</v>
      </c>
      <c r="DE47" t="s">
        <v>3</v>
      </c>
      <c r="DF47">
        <f t="shared" si="43"/>
        <v>0</v>
      </c>
      <c r="DG47">
        <f t="shared" si="49"/>
        <v>0</v>
      </c>
      <c r="DH47">
        <f t="shared" si="44"/>
        <v>0</v>
      </c>
      <c r="DI47">
        <f t="shared" si="45"/>
        <v>0</v>
      </c>
      <c r="DJ47">
        <f t="shared" si="50"/>
        <v>0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ROW(Source!A32)</f>
        <v>32</v>
      </c>
      <c r="B48">
        <v>60563954</v>
      </c>
      <c r="C48">
        <v>60564081</v>
      </c>
      <c r="D48">
        <v>45032834</v>
      </c>
      <c r="E48">
        <v>1</v>
      </c>
      <c r="F48">
        <v>1</v>
      </c>
      <c r="G48">
        <v>1</v>
      </c>
      <c r="H48">
        <v>2</v>
      </c>
      <c r="I48" t="s">
        <v>320</v>
      </c>
      <c r="J48" t="s">
        <v>321</v>
      </c>
      <c r="K48" t="s">
        <v>322</v>
      </c>
      <c r="L48">
        <v>1367</v>
      </c>
      <c r="N48">
        <v>1011</v>
      </c>
      <c r="O48" t="s">
        <v>215</v>
      </c>
      <c r="P48" t="s">
        <v>215</v>
      </c>
      <c r="Q48">
        <v>1</v>
      </c>
      <c r="W48">
        <v>0</v>
      </c>
      <c r="X48">
        <v>1976013712</v>
      </c>
      <c r="Y48">
        <f t="shared" si="40"/>
        <v>0.11648</v>
      </c>
      <c r="AA48">
        <v>0</v>
      </c>
      <c r="AB48">
        <v>131.52000000000001</v>
      </c>
      <c r="AC48">
        <v>0</v>
      </c>
      <c r="AD48">
        <v>0</v>
      </c>
      <c r="AE48">
        <v>0</v>
      </c>
      <c r="AF48">
        <v>9.2100000000000009</v>
      </c>
      <c r="AG48">
        <v>0</v>
      </c>
      <c r="AH48">
        <v>0</v>
      </c>
      <c r="AI48">
        <v>1</v>
      </c>
      <c r="AJ48">
        <v>14.28</v>
      </c>
      <c r="AK48">
        <v>37.299999999999997</v>
      </c>
      <c r="AL48">
        <v>1</v>
      </c>
      <c r="AM48">
        <v>4</v>
      </c>
      <c r="AN48">
        <v>0</v>
      </c>
      <c r="AO48">
        <v>1</v>
      </c>
      <c r="AP48">
        <v>1</v>
      </c>
      <c r="AQ48">
        <v>0</v>
      </c>
      <c r="AR48">
        <v>0</v>
      </c>
      <c r="AS48" t="s">
        <v>3</v>
      </c>
      <c r="AT48">
        <v>0.16</v>
      </c>
      <c r="AU48" t="s">
        <v>319</v>
      </c>
      <c r="AV48">
        <v>0</v>
      </c>
      <c r="AW48">
        <v>2</v>
      </c>
      <c r="AX48">
        <v>60564087</v>
      </c>
      <c r="AY48">
        <v>1</v>
      </c>
      <c r="AZ48">
        <v>0</v>
      </c>
      <c r="BA48">
        <v>48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V48">
        <v>0</v>
      </c>
      <c r="CW48">
        <f>ROUND(Y48*Source!I32*DO48,7)</f>
        <v>0</v>
      </c>
      <c r="CX48">
        <f>ROUND(Y48*Source!I32,7)</f>
        <v>0</v>
      </c>
      <c r="CY48">
        <f t="shared" si="46"/>
        <v>131.52000000000001</v>
      </c>
      <c r="CZ48">
        <f t="shared" si="47"/>
        <v>9.2100000000000009</v>
      </c>
      <c r="DA48">
        <f t="shared" si="48"/>
        <v>14.28</v>
      </c>
      <c r="DB48">
        <f t="shared" si="41"/>
        <v>1.07</v>
      </c>
      <c r="DC48">
        <f t="shared" si="42"/>
        <v>0</v>
      </c>
      <c r="DD48" t="s">
        <v>3</v>
      </c>
      <c r="DE48" t="s">
        <v>3</v>
      </c>
      <c r="DF48">
        <f t="shared" si="43"/>
        <v>0</v>
      </c>
      <c r="DG48">
        <f t="shared" si="49"/>
        <v>0</v>
      </c>
      <c r="DH48">
        <f t="shared" si="44"/>
        <v>0</v>
      </c>
      <c r="DI48">
        <f t="shared" si="45"/>
        <v>0</v>
      </c>
      <c r="DJ48">
        <f t="shared" si="50"/>
        <v>0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ROW(Source!A32)</f>
        <v>32</v>
      </c>
      <c r="B49">
        <v>60563954</v>
      </c>
      <c r="C49">
        <v>60564081</v>
      </c>
      <c r="D49">
        <v>45033637</v>
      </c>
      <c r="E49">
        <v>1</v>
      </c>
      <c r="F49">
        <v>1</v>
      </c>
      <c r="G49">
        <v>1</v>
      </c>
      <c r="H49">
        <v>2</v>
      </c>
      <c r="I49" t="s">
        <v>212</v>
      </c>
      <c r="J49" t="s">
        <v>213</v>
      </c>
      <c r="K49" t="s">
        <v>214</v>
      </c>
      <c r="L49">
        <v>1367</v>
      </c>
      <c r="N49">
        <v>1011</v>
      </c>
      <c r="O49" t="s">
        <v>215</v>
      </c>
      <c r="P49" t="s">
        <v>215</v>
      </c>
      <c r="Q49">
        <v>1</v>
      </c>
      <c r="W49">
        <v>0</v>
      </c>
      <c r="X49">
        <v>509054691</v>
      </c>
      <c r="Y49">
        <f t="shared" si="40"/>
        <v>0.23296</v>
      </c>
      <c r="AA49">
        <v>0</v>
      </c>
      <c r="AB49">
        <v>938.34</v>
      </c>
      <c r="AC49">
        <v>432.68</v>
      </c>
      <c r="AD49">
        <v>0</v>
      </c>
      <c r="AE49">
        <v>0</v>
      </c>
      <c r="AF49">
        <v>65.709999999999994</v>
      </c>
      <c r="AG49">
        <v>11.6</v>
      </c>
      <c r="AH49">
        <v>0</v>
      </c>
      <c r="AI49">
        <v>1</v>
      </c>
      <c r="AJ49">
        <v>14.28</v>
      </c>
      <c r="AK49">
        <v>37.299999999999997</v>
      </c>
      <c r="AL49">
        <v>1</v>
      </c>
      <c r="AM49">
        <v>4</v>
      </c>
      <c r="AN49">
        <v>0</v>
      </c>
      <c r="AO49">
        <v>1</v>
      </c>
      <c r="AP49">
        <v>1</v>
      </c>
      <c r="AQ49">
        <v>0</v>
      </c>
      <c r="AR49">
        <v>0</v>
      </c>
      <c r="AS49" t="s">
        <v>3</v>
      </c>
      <c r="AT49">
        <v>0.32</v>
      </c>
      <c r="AU49" t="s">
        <v>319</v>
      </c>
      <c r="AV49">
        <v>0</v>
      </c>
      <c r="AW49">
        <v>2</v>
      </c>
      <c r="AX49">
        <v>60564088</v>
      </c>
      <c r="AY49">
        <v>1</v>
      </c>
      <c r="AZ49">
        <v>0</v>
      </c>
      <c r="BA49">
        <v>49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V49">
        <v>0</v>
      </c>
      <c r="CW49">
        <f>ROUND(Y49*Source!I32*DO49,7)</f>
        <v>0</v>
      </c>
      <c r="CX49">
        <f>ROUND(Y49*Source!I32,7)</f>
        <v>0</v>
      </c>
      <c r="CY49">
        <f t="shared" si="46"/>
        <v>938.34</v>
      </c>
      <c r="CZ49">
        <f t="shared" si="47"/>
        <v>65.709999999999994</v>
      </c>
      <c r="DA49">
        <f t="shared" si="48"/>
        <v>14.28</v>
      </c>
      <c r="DB49">
        <f t="shared" si="41"/>
        <v>15.31</v>
      </c>
      <c r="DC49">
        <f t="shared" si="42"/>
        <v>2.7</v>
      </c>
      <c r="DD49" t="s">
        <v>3</v>
      </c>
      <c r="DE49" t="s">
        <v>3</v>
      </c>
      <c r="DF49">
        <f t="shared" si="43"/>
        <v>0</v>
      </c>
      <c r="DG49">
        <f t="shared" si="49"/>
        <v>0</v>
      </c>
      <c r="DH49">
        <f t="shared" si="44"/>
        <v>0</v>
      </c>
      <c r="DI49">
        <f t="shared" si="45"/>
        <v>0</v>
      </c>
      <c r="DJ49">
        <f t="shared" si="50"/>
        <v>0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ROW(Source!A32)</f>
        <v>32</v>
      </c>
      <c r="B50">
        <v>60563954</v>
      </c>
      <c r="C50">
        <v>60564081</v>
      </c>
      <c r="D50">
        <v>45033704</v>
      </c>
      <c r="E50">
        <v>1</v>
      </c>
      <c r="F50">
        <v>1</v>
      </c>
      <c r="G50">
        <v>1</v>
      </c>
      <c r="H50">
        <v>2</v>
      </c>
      <c r="I50" t="s">
        <v>323</v>
      </c>
      <c r="J50" t="s">
        <v>324</v>
      </c>
      <c r="K50" t="s">
        <v>325</v>
      </c>
      <c r="L50">
        <v>1367</v>
      </c>
      <c r="N50">
        <v>1011</v>
      </c>
      <c r="O50" t="s">
        <v>215</v>
      </c>
      <c r="P50" t="s">
        <v>215</v>
      </c>
      <c r="Q50">
        <v>1</v>
      </c>
      <c r="W50">
        <v>0</v>
      </c>
      <c r="X50">
        <v>-90908508</v>
      </c>
      <c r="Y50">
        <f t="shared" si="40"/>
        <v>0.99008000000000007</v>
      </c>
      <c r="AA50">
        <v>0</v>
      </c>
      <c r="AB50">
        <v>1186.67</v>
      </c>
      <c r="AC50">
        <v>537.12</v>
      </c>
      <c r="AD50">
        <v>0</v>
      </c>
      <c r="AE50">
        <v>0</v>
      </c>
      <c r="AF50">
        <v>83.1</v>
      </c>
      <c r="AG50">
        <v>14.4</v>
      </c>
      <c r="AH50">
        <v>0</v>
      </c>
      <c r="AI50">
        <v>1</v>
      </c>
      <c r="AJ50">
        <v>14.28</v>
      </c>
      <c r="AK50">
        <v>37.299999999999997</v>
      </c>
      <c r="AL50">
        <v>1</v>
      </c>
      <c r="AM50">
        <v>4</v>
      </c>
      <c r="AN50">
        <v>0</v>
      </c>
      <c r="AO50">
        <v>1</v>
      </c>
      <c r="AP50">
        <v>1</v>
      </c>
      <c r="AQ50">
        <v>0</v>
      </c>
      <c r="AR50">
        <v>0</v>
      </c>
      <c r="AS50" t="s">
        <v>3</v>
      </c>
      <c r="AT50">
        <v>1.36</v>
      </c>
      <c r="AU50" t="s">
        <v>319</v>
      </c>
      <c r="AV50">
        <v>0</v>
      </c>
      <c r="AW50">
        <v>2</v>
      </c>
      <c r="AX50">
        <v>60564089</v>
      </c>
      <c r="AY50">
        <v>1</v>
      </c>
      <c r="AZ50">
        <v>0</v>
      </c>
      <c r="BA50">
        <v>50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V50">
        <v>0</v>
      </c>
      <c r="CW50">
        <f>ROUND(Y50*Source!I32*DO50,7)</f>
        <v>0</v>
      </c>
      <c r="CX50">
        <f>ROUND(Y50*Source!I32,7)</f>
        <v>0</v>
      </c>
      <c r="CY50">
        <f t="shared" si="46"/>
        <v>1186.67</v>
      </c>
      <c r="CZ50">
        <f t="shared" si="47"/>
        <v>83.1</v>
      </c>
      <c r="DA50">
        <f t="shared" si="48"/>
        <v>14.28</v>
      </c>
      <c r="DB50">
        <f t="shared" si="41"/>
        <v>82.28</v>
      </c>
      <c r="DC50">
        <f t="shared" si="42"/>
        <v>14.25</v>
      </c>
      <c r="DD50" t="s">
        <v>3</v>
      </c>
      <c r="DE50" t="s">
        <v>3</v>
      </c>
      <c r="DF50">
        <f t="shared" si="43"/>
        <v>0</v>
      </c>
      <c r="DG50">
        <f t="shared" si="49"/>
        <v>0</v>
      </c>
      <c r="DH50">
        <f t="shared" si="44"/>
        <v>0</v>
      </c>
      <c r="DI50">
        <f t="shared" si="45"/>
        <v>0</v>
      </c>
      <c r="DJ50">
        <f t="shared" si="50"/>
        <v>0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ROW(Source!A32)</f>
        <v>32</v>
      </c>
      <c r="B51">
        <v>60563954</v>
      </c>
      <c r="C51">
        <v>60564081</v>
      </c>
      <c r="D51">
        <v>45033766</v>
      </c>
      <c r="E51">
        <v>1</v>
      </c>
      <c r="F51">
        <v>1</v>
      </c>
      <c r="G51">
        <v>1</v>
      </c>
      <c r="H51">
        <v>2</v>
      </c>
      <c r="I51" t="s">
        <v>326</v>
      </c>
      <c r="J51" t="s">
        <v>327</v>
      </c>
      <c r="K51" t="s">
        <v>328</v>
      </c>
      <c r="L51">
        <v>1367</v>
      </c>
      <c r="N51">
        <v>1011</v>
      </c>
      <c r="O51" t="s">
        <v>215</v>
      </c>
      <c r="P51" t="s">
        <v>215</v>
      </c>
      <c r="Q51">
        <v>1</v>
      </c>
      <c r="W51">
        <v>0</v>
      </c>
      <c r="X51">
        <v>-1299012670</v>
      </c>
      <c r="Y51">
        <f t="shared" si="40"/>
        <v>4.3679999999999997E-2</v>
      </c>
      <c r="AA51">
        <v>0</v>
      </c>
      <c r="AB51">
        <v>174.79</v>
      </c>
      <c r="AC51">
        <v>0</v>
      </c>
      <c r="AD51">
        <v>0</v>
      </c>
      <c r="AE51">
        <v>0</v>
      </c>
      <c r="AF51">
        <v>12.24</v>
      </c>
      <c r="AG51">
        <v>0</v>
      </c>
      <c r="AH51">
        <v>0</v>
      </c>
      <c r="AI51">
        <v>1</v>
      </c>
      <c r="AJ51">
        <v>14.28</v>
      </c>
      <c r="AK51">
        <v>37.299999999999997</v>
      </c>
      <c r="AL51">
        <v>1</v>
      </c>
      <c r="AM51">
        <v>4</v>
      </c>
      <c r="AN51">
        <v>0</v>
      </c>
      <c r="AO51">
        <v>1</v>
      </c>
      <c r="AP51">
        <v>1</v>
      </c>
      <c r="AQ51">
        <v>0</v>
      </c>
      <c r="AR51">
        <v>0</v>
      </c>
      <c r="AS51" t="s">
        <v>3</v>
      </c>
      <c r="AT51">
        <v>0.06</v>
      </c>
      <c r="AU51" t="s">
        <v>319</v>
      </c>
      <c r="AV51">
        <v>0</v>
      </c>
      <c r="AW51">
        <v>2</v>
      </c>
      <c r="AX51">
        <v>60564090</v>
      </c>
      <c r="AY51">
        <v>1</v>
      </c>
      <c r="AZ51">
        <v>0</v>
      </c>
      <c r="BA51">
        <v>51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V51">
        <v>0</v>
      </c>
      <c r="CW51">
        <f>ROUND(Y51*Source!I32*DO51,7)</f>
        <v>0</v>
      </c>
      <c r="CX51">
        <f>ROUND(Y51*Source!I32,7)</f>
        <v>0</v>
      </c>
      <c r="CY51">
        <f t="shared" si="46"/>
        <v>174.79</v>
      </c>
      <c r="CZ51">
        <f t="shared" si="47"/>
        <v>12.24</v>
      </c>
      <c r="DA51">
        <f t="shared" si="48"/>
        <v>14.28</v>
      </c>
      <c r="DB51">
        <f t="shared" si="41"/>
        <v>0.53</v>
      </c>
      <c r="DC51">
        <f t="shared" si="42"/>
        <v>0</v>
      </c>
      <c r="DD51" t="s">
        <v>3</v>
      </c>
      <c r="DE51" t="s">
        <v>3</v>
      </c>
      <c r="DF51">
        <f t="shared" si="43"/>
        <v>0</v>
      </c>
      <c r="DG51">
        <f t="shared" si="49"/>
        <v>0</v>
      </c>
      <c r="DH51">
        <f t="shared" si="44"/>
        <v>0</v>
      </c>
      <c r="DI51">
        <f t="shared" si="45"/>
        <v>0</v>
      </c>
      <c r="DJ51">
        <f t="shared" si="50"/>
        <v>0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ROW(Source!A32)</f>
        <v>32</v>
      </c>
      <c r="B52">
        <v>60563954</v>
      </c>
      <c r="C52">
        <v>60564081</v>
      </c>
      <c r="D52">
        <v>45033792</v>
      </c>
      <c r="E52">
        <v>1</v>
      </c>
      <c r="F52">
        <v>1</v>
      </c>
      <c r="G52">
        <v>1</v>
      </c>
      <c r="H52">
        <v>2</v>
      </c>
      <c r="I52" t="s">
        <v>245</v>
      </c>
      <c r="J52" t="s">
        <v>246</v>
      </c>
      <c r="K52" t="s">
        <v>247</v>
      </c>
      <c r="L52">
        <v>1367</v>
      </c>
      <c r="N52">
        <v>1011</v>
      </c>
      <c r="O52" t="s">
        <v>215</v>
      </c>
      <c r="P52" t="s">
        <v>215</v>
      </c>
      <c r="Q52">
        <v>1</v>
      </c>
      <c r="W52">
        <v>0</v>
      </c>
      <c r="X52">
        <v>2077867240</v>
      </c>
      <c r="Y52">
        <f t="shared" si="40"/>
        <v>0.89544000000000001</v>
      </c>
      <c r="AA52">
        <v>0</v>
      </c>
      <c r="AB52">
        <v>17.14</v>
      </c>
      <c r="AC52">
        <v>0</v>
      </c>
      <c r="AD52">
        <v>0</v>
      </c>
      <c r="AE52">
        <v>0</v>
      </c>
      <c r="AF52">
        <v>1.2</v>
      </c>
      <c r="AG52">
        <v>0</v>
      </c>
      <c r="AH52">
        <v>0</v>
      </c>
      <c r="AI52">
        <v>1</v>
      </c>
      <c r="AJ52">
        <v>14.28</v>
      </c>
      <c r="AK52">
        <v>37.299999999999997</v>
      </c>
      <c r="AL52">
        <v>1</v>
      </c>
      <c r="AM52">
        <v>4</v>
      </c>
      <c r="AN52">
        <v>0</v>
      </c>
      <c r="AO52">
        <v>1</v>
      </c>
      <c r="AP52">
        <v>1</v>
      </c>
      <c r="AQ52">
        <v>0</v>
      </c>
      <c r="AR52">
        <v>0</v>
      </c>
      <c r="AS52" t="s">
        <v>3</v>
      </c>
      <c r="AT52">
        <v>1.23</v>
      </c>
      <c r="AU52" t="s">
        <v>319</v>
      </c>
      <c r="AV52">
        <v>0</v>
      </c>
      <c r="AW52">
        <v>2</v>
      </c>
      <c r="AX52">
        <v>60564091</v>
      </c>
      <c r="AY52">
        <v>1</v>
      </c>
      <c r="AZ52">
        <v>0</v>
      </c>
      <c r="BA52">
        <v>52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V52">
        <v>0</v>
      </c>
      <c r="CW52">
        <f>ROUND(Y52*Source!I32*DO52,7)</f>
        <v>0</v>
      </c>
      <c r="CX52">
        <f>ROUND(Y52*Source!I32,7)</f>
        <v>0</v>
      </c>
      <c r="CY52">
        <f t="shared" si="46"/>
        <v>17.14</v>
      </c>
      <c r="CZ52">
        <f t="shared" si="47"/>
        <v>1.2</v>
      </c>
      <c r="DA52">
        <f t="shared" si="48"/>
        <v>14.28</v>
      </c>
      <c r="DB52">
        <f t="shared" si="41"/>
        <v>1.08</v>
      </c>
      <c r="DC52">
        <f t="shared" si="42"/>
        <v>0</v>
      </c>
      <c r="DD52" t="s">
        <v>3</v>
      </c>
      <c r="DE52" t="s">
        <v>3</v>
      </c>
      <c r="DF52">
        <f t="shared" si="43"/>
        <v>0</v>
      </c>
      <c r="DG52">
        <f t="shared" si="49"/>
        <v>0</v>
      </c>
      <c r="DH52">
        <f t="shared" si="44"/>
        <v>0</v>
      </c>
      <c r="DI52">
        <f t="shared" si="45"/>
        <v>0</v>
      </c>
      <c r="DJ52">
        <f t="shared" si="50"/>
        <v>0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ROW(Source!A32)</f>
        <v>32</v>
      </c>
      <c r="B53">
        <v>60563954</v>
      </c>
      <c r="C53">
        <v>60564081</v>
      </c>
      <c r="D53">
        <v>45033835</v>
      </c>
      <c r="E53">
        <v>1</v>
      </c>
      <c r="F53">
        <v>1</v>
      </c>
      <c r="G53">
        <v>1</v>
      </c>
      <c r="H53">
        <v>2</v>
      </c>
      <c r="I53" t="s">
        <v>248</v>
      </c>
      <c r="J53" t="s">
        <v>249</v>
      </c>
      <c r="K53" t="s">
        <v>250</v>
      </c>
      <c r="L53">
        <v>1367</v>
      </c>
      <c r="N53">
        <v>1011</v>
      </c>
      <c r="O53" t="s">
        <v>215</v>
      </c>
      <c r="P53" t="s">
        <v>215</v>
      </c>
      <c r="Q53">
        <v>1</v>
      </c>
      <c r="W53">
        <v>0</v>
      </c>
      <c r="X53">
        <v>-1866313122</v>
      </c>
      <c r="Y53">
        <f t="shared" si="40"/>
        <v>3.3487999999999998</v>
      </c>
      <c r="AA53">
        <v>0</v>
      </c>
      <c r="AB53">
        <v>175.79</v>
      </c>
      <c r="AC53">
        <v>0</v>
      </c>
      <c r="AD53">
        <v>0</v>
      </c>
      <c r="AE53">
        <v>0</v>
      </c>
      <c r="AF53">
        <v>12.31</v>
      </c>
      <c r="AG53">
        <v>0</v>
      </c>
      <c r="AH53">
        <v>0</v>
      </c>
      <c r="AI53">
        <v>1</v>
      </c>
      <c r="AJ53">
        <v>14.28</v>
      </c>
      <c r="AK53">
        <v>37.299999999999997</v>
      </c>
      <c r="AL53">
        <v>1</v>
      </c>
      <c r="AM53">
        <v>4</v>
      </c>
      <c r="AN53">
        <v>0</v>
      </c>
      <c r="AO53">
        <v>1</v>
      </c>
      <c r="AP53">
        <v>1</v>
      </c>
      <c r="AQ53">
        <v>0</v>
      </c>
      <c r="AR53">
        <v>0</v>
      </c>
      <c r="AS53" t="s">
        <v>3</v>
      </c>
      <c r="AT53">
        <v>4.5999999999999996</v>
      </c>
      <c r="AU53" t="s">
        <v>319</v>
      </c>
      <c r="AV53">
        <v>0</v>
      </c>
      <c r="AW53">
        <v>2</v>
      </c>
      <c r="AX53">
        <v>60564092</v>
      </c>
      <c r="AY53">
        <v>1</v>
      </c>
      <c r="AZ53">
        <v>0</v>
      </c>
      <c r="BA53">
        <v>53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V53">
        <v>0</v>
      </c>
      <c r="CW53">
        <f>ROUND(Y53*Source!I32*DO53,7)</f>
        <v>0</v>
      </c>
      <c r="CX53">
        <f>ROUND(Y53*Source!I32,7)</f>
        <v>0</v>
      </c>
      <c r="CY53">
        <f t="shared" si="46"/>
        <v>175.79</v>
      </c>
      <c r="CZ53">
        <f t="shared" si="47"/>
        <v>12.31</v>
      </c>
      <c r="DA53">
        <f t="shared" si="48"/>
        <v>14.28</v>
      </c>
      <c r="DB53">
        <f t="shared" si="41"/>
        <v>41.23</v>
      </c>
      <c r="DC53">
        <f t="shared" si="42"/>
        <v>0</v>
      </c>
      <c r="DD53" t="s">
        <v>3</v>
      </c>
      <c r="DE53" t="s">
        <v>3</v>
      </c>
      <c r="DF53">
        <f t="shared" si="43"/>
        <v>0</v>
      </c>
      <c r="DG53">
        <f t="shared" si="49"/>
        <v>0</v>
      </c>
      <c r="DH53">
        <f t="shared" si="44"/>
        <v>0</v>
      </c>
      <c r="DI53">
        <f t="shared" si="45"/>
        <v>0</v>
      </c>
      <c r="DJ53">
        <f t="shared" si="50"/>
        <v>0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ROW(Source!A32)</f>
        <v>32</v>
      </c>
      <c r="B54">
        <v>60563954</v>
      </c>
      <c r="C54">
        <v>60564081</v>
      </c>
      <c r="D54">
        <v>45033863</v>
      </c>
      <c r="E54">
        <v>1</v>
      </c>
      <c r="F54">
        <v>1</v>
      </c>
      <c r="G54">
        <v>1</v>
      </c>
      <c r="H54">
        <v>2</v>
      </c>
      <c r="I54" t="s">
        <v>329</v>
      </c>
      <c r="J54" t="s">
        <v>330</v>
      </c>
      <c r="K54" t="s">
        <v>331</v>
      </c>
      <c r="L54">
        <v>1367</v>
      </c>
      <c r="N54">
        <v>1011</v>
      </c>
      <c r="O54" t="s">
        <v>215</v>
      </c>
      <c r="P54" t="s">
        <v>215</v>
      </c>
      <c r="Q54">
        <v>1</v>
      </c>
      <c r="W54">
        <v>0</v>
      </c>
      <c r="X54">
        <v>-1111507504</v>
      </c>
      <c r="Y54">
        <f t="shared" si="40"/>
        <v>0.10919999999999999</v>
      </c>
      <c r="AA54">
        <v>0</v>
      </c>
      <c r="AB54">
        <v>1285.2</v>
      </c>
      <c r="AC54">
        <v>375.24</v>
      </c>
      <c r="AD54">
        <v>0</v>
      </c>
      <c r="AE54">
        <v>0</v>
      </c>
      <c r="AF54">
        <v>90</v>
      </c>
      <c r="AG54">
        <v>10.06</v>
      </c>
      <c r="AH54">
        <v>0</v>
      </c>
      <c r="AI54">
        <v>1</v>
      </c>
      <c r="AJ54">
        <v>14.28</v>
      </c>
      <c r="AK54">
        <v>37.299999999999997</v>
      </c>
      <c r="AL54">
        <v>1</v>
      </c>
      <c r="AM54">
        <v>4</v>
      </c>
      <c r="AN54">
        <v>0</v>
      </c>
      <c r="AO54">
        <v>1</v>
      </c>
      <c r="AP54">
        <v>1</v>
      </c>
      <c r="AQ54">
        <v>0</v>
      </c>
      <c r="AR54">
        <v>0</v>
      </c>
      <c r="AS54" t="s">
        <v>3</v>
      </c>
      <c r="AT54">
        <v>0.15</v>
      </c>
      <c r="AU54" t="s">
        <v>319</v>
      </c>
      <c r="AV54">
        <v>0</v>
      </c>
      <c r="AW54">
        <v>2</v>
      </c>
      <c r="AX54">
        <v>60564093</v>
      </c>
      <c r="AY54">
        <v>1</v>
      </c>
      <c r="AZ54">
        <v>0</v>
      </c>
      <c r="BA54">
        <v>54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V54">
        <v>0</v>
      </c>
      <c r="CW54">
        <f>ROUND(Y54*Source!I32*DO54,7)</f>
        <v>0</v>
      </c>
      <c r="CX54">
        <f>ROUND(Y54*Source!I32,7)</f>
        <v>0</v>
      </c>
      <c r="CY54">
        <f t="shared" si="46"/>
        <v>1285.2</v>
      </c>
      <c r="CZ54">
        <f t="shared" si="47"/>
        <v>90</v>
      </c>
      <c r="DA54">
        <f t="shared" si="48"/>
        <v>14.28</v>
      </c>
      <c r="DB54">
        <f t="shared" si="41"/>
        <v>9.83</v>
      </c>
      <c r="DC54">
        <f t="shared" si="42"/>
        <v>1.1000000000000001</v>
      </c>
      <c r="DD54" t="s">
        <v>3</v>
      </c>
      <c r="DE54" t="s">
        <v>3</v>
      </c>
      <c r="DF54">
        <f t="shared" si="43"/>
        <v>0</v>
      </c>
      <c r="DG54">
        <f t="shared" si="49"/>
        <v>0</v>
      </c>
      <c r="DH54">
        <f t="shared" si="44"/>
        <v>0</v>
      </c>
      <c r="DI54">
        <f t="shared" si="45"/>
        <v>0</v>
      </c>
      <c r="DJ54">
        <f t="shared" si="50"/>
        <v>0</v>
      </c>
      <c r="DK54">
        <v>0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ROW(Source!A32)</f>
        <v>32</v>
      </c>
      <c r="B55">
        <v>60563954</v>
      </c>
      <c r="C55">
        <v>60564081</v>
      </c>
      <c r="D55">
        <v>44881628</v>
      </c>
      <c r="E55">
        <v>1</v>
      </c>
      <c r="F55">
        <v>1</v>
      </c>
      <c r="G55">
        <v>1</v>
      </c>
      <c r="H55">
        <v>3</v>
      </c>
      <c r="I55" t="s">
        <v>332</v>
      </c>
      <c r="J55" t="s">
        <v>333</v>
      </c>
      <c r="K55" t="s">
        <v>334</v>
      </c>
      <c r="L55">
        <v>1348</v>
      </c>
      <c r="N55">
        <v>1009</v>
      </c>
      <c r="O55" t="s">
        <v>32</v>
      </c>
      <c r="P55" t="s">
        <v>32</v>
      </c>
      <c r="Q55">
        <v>1000</v>
      </c>
      <c r="W55">
        <v>0</v>
      </c>
      <c r="X55">
        <v>567916422</v>
      </c>
      <c r="Y55">
        <f t="shared" ref="Y55:Y73" si="51">(AT55*ROUND((0*1.04),7))</f>
        <v>0</v>
      </c>
      <c r="AA55">
        <v>26564.31</v>
      </c>
      <c r="AB55">
        <v>0</v>
      </c>
      <c r="AC55">
        <v>0</v>
      </c>
      <c r="AD55">
        <v>0</v>
      </c>
      <c r="AE55">
        <v>2606.9</v>
      </c>
      <c r="AF55">
        <v>0</v>
      </c>
      <c r="AG55">
        <v>0</v>
      </c>
      <c r="AH55">
        <v>0</v>
      </c>
      <c r="AI55">
        <v>10.19</v>
      </c>
      <c r="AJ55">
        <v>1</v>
      </c>
      <c r="AK55">
        <v>1</v>
      </c>
      <c r="AL55">
        <v>1</v>
      </c>
      <c r="AM55">
        <v>4</v>
      </c>
      <c r="AN55">
        <v>0</v>
      </c>
      <c r="AO55">
        <v>1</v>
      </c>
      <c r="AP55">
        <v>1</v>
      </c>
      <c r="AQ55">
        <v>0</v>
      </c>
      <c r="AR55">
        <v>0</v>
      </c>
      <c r="AS55" t="s">
        <v>3</v>
      </c>
      <c r="AT55">
        <v>7.5000000000000002E-4</v>
      </c>
      <c r="AU55" t="s">
        <v>86</v>
      </c>
      <c r="AV55">
        <v>0</v>
      </c>
      <c r="AW55">
        <v>2</v>
      </c>
      <c r="AX55">
        <v>60564094</v>
      </c>
      <c r="AY55">
        <v>1</v>
      </c>
      <c r="AZ55">
        <v>0</v>
      </c>
      <c r="BA55">
        <v>55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V55">
        <v>0</v>
      </c>
      <c r="CW55">
        <v>0</v>
      </c>
      <c r="CX55">
        <f>ROUND(Y55*Source!I32,7)</f>
        <v>0</v>
      </c>
      <c r="CY55">
        <f t="shared" ref="CY55:CY73" si="52">AA55</f>
        <v>26564.31</v>
      </c>
      <c r="CZ55">
        <f t="shared" ref="CZ55:CZ73" si="53">AE55</f>
        <v>2606.9</v>
      </c>
      <c r="DA55">
        <f t="shared" ref="DA55:DA73" si="54">AI55</f>
        <v>10.19</v>
      </c>
      <c r="DB55">
        <f t="shared" ref="DB55:DB73" si="55">ROUND((ROUND(AT55*CZ55,2)*ROUND((0*1.04),7)),2)</f>
        <v>0</v>
      </c>
      <c r="DC55">
        <f t="shared" ref="DC55:DC73" si="56">ROUND((ROUND(AT55*AG55,2)*ROUND((0*1.04),7)),2)</f>
        <v>0</v>
      </c>
      <c r="DD55" t="s">
        <v>3</v>
      </c>
      <c r="DE55" t="s">
        <v>3</v>
      </c>
      <c r="DF55">
        <f t="shared" ref="DF55:DF73" si="57">ROUND(ROUND(AE55*AI55,0)*CX55,0)</f>
        <v>0</v>
      </c>
      <c r="DG55">
        <f t="shared" ref="DG55:DG73" si="58">ROUND(ROUND(AF55,0)*CX55,0)</f>
        <v>0</v>
      </c>
      <c r="DH55">
        <f t="shared" ref="DH55:DH73" si="59">ROUND(ROUND(AG55,0)*CX55,0)</f>
        <v>0</v>
      </c>
      <c r="DI55">
        <f t="shared" si="45"/>
        <v>0</v>
      </c>
      <c r="DJ55">
        <f t="shared" ref="DJ55:DJ73" si="60">DF55</f>
        <v>0</v>
      </c>
      <c r="DK55">
        <v>0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ROW(Source!A32)</f>
        <v>32</v>
      </c>
      <c r="B56">
        <v>60563954</v>
      </c>
      <c r="C56">
        <v>60564081</v>
      </c>
      <c r="D56">
        <v>44881732</v>
      </c>
      <c r="E56">
        <v>1</v>
      </c>
      <c r="F56">
        <v>1</v>
      </c>
      <c r="G56">
        <v>1</v>
      </c>
      <c r="H56">
        <v>3</v>
      </c>
      <c r="I56" t="s">
        <v>251</v>
      </c>
      <c r="J56" t="s">
        <v>252</v>
      </c>
      <c r="K56" t="s">
        <v>253</v>
      </c>
      <c r="L56">
        <v>1339</v>
      </c>
      <c r="N56">
        <v>1007</v>
      </c>
      <c r="O56" t="s">
        <v>219</v>
      </c>
      <c r="P56" t="s">
        <v>219</v>
      </c>
      <c r="Q56">
        <v>1</v>
      </c>
      <c r="W56">
        <v>0</v>
      </c>
      <c r="X56">
        <v>-1761807714</v>
      </c>
      <c r="Y56">
        <f t="shared" si="51"/>
        <v>0</v>
      </c>
      <c r="AA56">
        <v>63.38</v>
      </c>
      <c r="AB56">
        <v>0</v>
      </c>
      <c r="AC56">
        <v>0</v>
      </c>
      <c r="AD56">
        <v>0</v>
      </c>
      <c r="AE56">
        <v>6.22</v>
      </c>
      <c r="AF56">
        <v>0</v>
      </c>
      <c r="AG56">
        <v>0</v>
      </c>
      <c r="AH56">
        <v>0</v>
      </c>
      <c r="AI56">
        <v>10.19</v>
      </c>
      <c r="AJ56">
        <v>1</v>
      </c>
      <c r="AK56">
        <v>1</v>
      </c>
      <c r="AL56">
        <v>1</v>
      </c>
      <c r="AM56">
        <v>4</v>
      </c>
      <c r="AN56">
        <v>0</v>
      </c>
      <c r="AO56">
        <v>1</v>
      </c>
      <c r="AP56">
        <v>1</v>
      </c>
      <c r="AQ56">
        <v>0</v>
      </c>
      <c r="AR56">
        <v>0</v>
      </c>
      <c r="AS56" t="s">
        <v>3</v>
      </c>
      <c r="AT56">
        <v>1.1200000000000001</v>
      </c>
      <c r="AU56" t="s">
        <v>86</v>
      </c>
      <c r="AV56">
        <v>0</v>
      </c>
      <c r="AW56">
        <v>2</v>
      </c>
      <c r="AX56">
        <v>60564095</v>
      </c>
      <c r="AY56">
        <v>1</v>
      </c>
      <c r="AZ56">
        <v>0</v>
      </c>
      <c r="BA56">
        <v>56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V56">
        <v>0</v>
      </c>
      <c r="CW56">
        <v>0</v>
      </c>
      <c r="CX56">
        <f>ROUND(Y56*Source!I32,7)</f>
        <v>0</v>
      </c>
      <c r="CY56">
        <f t="shared" si="52"/>
        <v>63.38</v>
      </c>
      <c r="CZ56">
        <f t="shared" si="53"/>
        <v>6.22</v>
      </c>
      <c r="DA56">
        <f t="shared" si="54"/>
        <v>10.19</v>
      </c>
      <c r="DB56">
        <f t="shared" si="55"/>
        <v>0</v>
      </c>
      <c r="DC56">
        <f t="shared" si="56"/>
        <v>0</v>
      </c>
      <c r="DD56" t="s">
        <v>3</v>
      </c>
      <c r="DE56" t="s">
        <v>3</v>
      </c>
      <c r="DF56">
        <f t="shared" si="57"/>
        <v>0</v>
      </c>
      <c r="DG56">
        <f t="shared" si="58"/>
        <v>0</v>
      </c>
      <c r="DH56">
        <f t="shared" si="59"/>
        <v>0</v>
      </c>
      <c r="DI56">
        <f t="shared" si="45"/>
        <v>0</v>
      </c>
      <c r="DJ56">
        <f t="shared" si="60"/>
        <v>0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ROW(Source!A32)</f>
        <v>32</v>
      </c>
      <c r="B57">
        <v>60563954</v>
      </c>
      <c r="C57">
        <v>60564081</v>
      </c>
      <c r="D57">
        <v>44881738</v>
      </c>
      <c r="E57">
        <v>1</v>
      </c>
      <c r="F57">
        <v>1</v>
      </c>
      <c r="G57">
        <v>1</v>
      </c>
      <c r="H57">
        <v>3</v>
      </c>
      <c r="I57" t="s">
        <v>254</v>
      </c>
      <c r="J57" t="s">
        <v>255</v>
      </c>
      <c r="K57" t="s">
        <v>256</v>
      </c>
      <c r="L57">
        <v>1346</v>
      </c>
      <c r="N57">
        <v>1009</v>
      </c>
      <c r="O57" t="s">
        <v>257</v>
      </c>
      <c r="P57" t="s">
        <v>257</v>
      </c>
      <c r="Q57">
        <v>1</v>
      </c>
      <c r="W57">
        <v>0</v>
      </c>
      <c r="X57">
        <v>-2118006079</v>
      </c>
      <c r="Y57">
        <f t="shared" si="51"/>
        <v>0</v>
      </c>
      <c r="AA57">
        <v>62.06</v>
      </c>
      <c r="AB57">
        <v>0</v>
      </c>
      <c r="AC57">
        <v>0</v>
      </c>
      <c r="AD57">
        <v>0</v>
      </c>
      <c r="AE57">
        <v>6.09</v>
      </c>
      <c r="AF57">
        <v>0</v>
      </c>
      <c r="AG57">
        <v>0</v>
      </c>
      <c r="AH57">
        <v>0</v>
      </c>
      <c r="AI57">
        <v>10.19</v>
      </c>
      <c r="AJ57">
        <v>1</v>
      </c>
      <c r="AK57">
        <v>1</v>
      </c>
      <c r="AL57">
        <v>1</v>
      </c>
      <c r="AM57">
        <v>4</v>
      </c>
      <c r="AN57">
        <v>0</v>
      </c>
      <c r="AO57">
        <v>1</v>
      </c>
      <c r="AP57">
        <v>1</v>
      </c>
      <c r="AQ57">
        <v>0</v>
      </c>
      <c r="AR57">
        <v>0</v>
      </c>
      <c r="AS57" t="s">
        <v>3</v>
      </c>
      <c r="AT57">
        <v>0.35</v>
      </c>
      <c r="AU57" t="s">
        <v>86</v>
      </c>
      <c r="AV57">
        <v>0</v>
      </c>
      <c r="AW57">
        <v>2</v>
      </c>
      <c r="AX57">
        <v>60564096</v>
      </c>
      <c r="AY57">
        <v>1</v>
      </c>
      <c r="AZ57">
        <v>0</v>
      </c>
      <c r="BA57">
        <v>57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V57">
        <v>0</v>
      </c>
      <c r="CW57">
        <v>0</v>
      </c>
      <c r="CX57">
        <f>ROUND(Y57*Source!I32,7)</f>
        <v>0</v>
      </c>
      <c r="CY57">
        <f t="shared" si="52"/>
        <v>62.06</v>
      </c>
      <c r="CZ57">
        <f t="shared" si="53"/>
        <v>6.09</v>
      </c>
      <c r="DA57">
        <f t="shared" si="54"/>
        <v>10.19</v>
      </c>
      <c r="DB57">
        <f t="shared" si="55"/>
        <v>0</v>
      </c>
      <c r="DC57">
        <f t="shared" si="56"/>
        <v>0</v>
      </c>
      <c r="DD57" t="s">
        <v>3</v>
      </c>
      <c r="DE57" t="s">
        <v>3</v>
      </c>
      <c r="DF57">
        <f t="shared" si="57"/>
        <v>0</v>
      </c>
      <c r="DG57">
        <f t="shared" si="58"/>
        <v>0</v>
      </c>
      <c r="DH57">
        <f t="shared" si="59"/>
        <v>0</v>
      </c>
      <c r="DI57">
        <f t="shared" si="45"/>
        <v>0</v>
      </c>
      <c r="DJ57">
        <f t="shared" si="60"/>
        <v>0</v>
      </c>
      <c r="DK57">
        <v>0</v>
      </c>
      <c r="DL57" t="s">
        <v>3</v>
      </c>
      <c r="DM57">
        <v>0</v>
      </c>
      <c r="DN57" t="s">
        <v>3</v>
      </c>
      <c r="DO57">
        <v>0</v>
      </c>
    </row>
    <row r="58" spans="1:119" x14ac:dyDescent="0.2">
      <c r="A58">
        <f>ROW(Source!A32)</f>
        <v>32</v>
      </c>
      <c r="B58">
        <v>60563954</v>
      </c>
      <c r="C58">
        <v>60564081</v>
      </c>
      <c r="D58">
        <v>44883334</v>
      </c>
      <c r="E58">
        <v>1</v>
      </c>
      <c r="F58">
        <v>1</v>
      </c>
      <c r="G58">
        <v>1</v>
      </c>
      <c r="H58">
        <v>3</v>
      </c>
      <c r="I58" t="s">
        <v>301</v>
      </c>
      <c r="J58" t="s">
        <v>302</v>
      </c>
      <c r="K58" t="s">
        <v>303</v>
      </c>
      <c r="L58">
        <v>1339</v>
      </c>
      <c r="N58">
        <v>1007</v>
      </c>
      <c r="O58" t="s">
        <v>219</v>
      </c>
      <c r="P58" t="s">
        <v>219</v>
      </c>
      <c r="Q58">
        <v>1</v>
      </c>
      <c r="W58">
        <v>0</v>
      </c>
      <c r="X58">
        <v>-143474561</v>
      </c>
      <c r="Y58">
        <f t="shared" si="51"/>
        <v>0</v>
      </c>
      <c r="AA58">
        <v>24.86</v>
      </c>
      <c r="AB58">
        <v>0</v>
      </c>
      <c r="AC58">
        <v>0</v>
      </c>
      <c r="AD58">
        <v>0</v>
      </c>
      <c r="AE58">
        <v>2.44</v>
      </c>
      <c r="AF58">
        <v>0</v>
      </c>
      <c r="AG58">
        <v>0</v>
      </c>
      <c r="AH58">
        <v>0</v>
      </c>
      <c r="AI58">
        <v>10.19</v>
      </c>
      <c r="AJ58">
        <v>1</v>
      </c>
      <c r="AK58">
        <v>1</v>
      </c>
      <c r="AL58">
        <v>1</v>
      </c>
      <c r="AM58">
        <v>4</v>
      </c>
      <c r="AN58">
        <v>0</v>
      </c>
      <c r="AO58">
        <v>1</v>
      </c>
      <c r="AP58">
        <v>1</v>
      </c>
      <c r="AQ58">
        <v>0</v>
      </c>
      <c r="AR58">
        <v>0</v>
      </c>
      <c r="AS58" t="s">
        <v>3</v>
      </c>
      <c r="AT58">
        <v>39.4</v>
      </c>
      <c r="AU58" t="s">
        <v>86</v>
      </c>
      <c r="AV58">
        <v>0</v>
      </c>
      <c r="AW58">
        <v>2</v>
      </c>
      <c r="AX58">
        <v>60564097</v>
      </c>
      <c r="AY58">
        <v>1</v>
      </c>
      <c r="AZ58">
        <v>0</v>
      </c>
      <c r="BA58">
        <v>58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V58">
        <v>0</v>
      </c>
      <c r="CW58">
        <v>0</v>
      </c>
      <c r="CX58">
        <f>ROUND(Y58*Source!I32,7)</f>
        <v>0</v>
      </c>
      <c r="CY58">
        <f t="shared" si="52"/>
        <v>24.86</v>
      </c>
      <c r="CZ58">
        <f t="shared" si="53"/>
        <v>2.44</v>
      </c>
      <c r="DA58">
        <f t="shared" si="54"/>
        <v>10.19</v>
      </c>
      <c r="DB58">
        <f t="shared" si="55"/>
        <v>0</v>
      </c>
      <c r="DC58">
        <f t="shared" si="56"/>
        <v>0</v>
      </c>
      <c r="DD58" t="s">
        <v>3</v>
      </c>
      <c r="DE58" t="s">
        <v>3</v>
      </c>
      <c r="DF58">
        <f t="shared" si="57"/>
        <v>0</v>
      </c>
      <c r="DG58">
        <f t="shared" si="58"/>
        <v>0</v>
      </c>
      <c r="DH58">
        <f t="shared" si="59"/>
        <v>0</v>
      </c>
      <c r="DI58">
        <f t="shared" si="45"/>
        <v>0</v>
      </c>
      <c r="DJ58">
        <f t="shared" si="60"/>
        <v>0</v>
      </c>
      <c r="DK58">
        <v>0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ROW(Source!A32)</f>
        <v>32</v>
      </c>
      <c r="B59">
        <v>60563954</v>
      </c>
      <c r="C59">
        <v>60564081</v>
      </c>
      <c r="D59">
        <v>44883789</v>
      </c>
      <c r="E59">
        <v>1</v>
      </c>
      <c r="F59">
        <v>1</v>
      </c>
      <c r="G59">
        <v>1</v>
      </c>
      <c r="H59">
        <v>3</v>
      </c>
      <c r="I59" t="s">
        <v>335</v>
      </c>
      <c r="J59" t="s">
        <v>336</v>
      </c>
      <c r="K59" t="s">
        <v>337</v>
      </c>
      <c r="L59">
        <v>1371</v>
      </c>
      <c r="N59">
        <v>1013</v>
      </c>
      <c r="O59" t="s">
        <v>63</v>
      </c>
      <c r="P59" t="s">
        <v>63</v>
      </c>
      <c r="Q59">
        <v>1</v>
      </c>
      <c r="W59">
        <v>0</v>
      </c>
      <c r="X59">
        <v>-58466734</v>
      </c>
      <c r="Y59">
        <f t="shared" si="51"/>
        <v>0</v>
      </c>
      <c r="AA59">
        <v>45.86</v>
      </c>
      <c r="AB59">
        <v>0</v>
      </c>
      <c r="AC59">
        <v>0</v>
      </c>
      <c r="AD59">
        <v>0</v>
      </c>
      <c r="AE59">
        <v>4.5</v>
      </c>
      <c r="AF59">
        <v>0</v>
      </c>
      <c r="AG59">
        <v>0</v>
      </c>
      <c r="AH59">
        <v>0</v>
      </c>
      <c r="AI59">
        <v>10.19</v>
      </c>
      <c r="AJ59">
        <v>1</v>
      </c>
      <c r="AK59">
        <v>1</v>
      </c>
      <c r="AL59">
        <v>1</v>
      </c>
      <c r="AM59">
        <v>4</v>
      </c>
      <c r="AN59">
        <v>0</v>
      </c>
      <c r="AO59">
        <v>1</v>
      </c>
      <c r="AP59">
        <v>1</v>
      </c>
      <c r="AQ59">
        <v>0</v>
      </c>
      <c r="AR59">
        <v>0</v>
      </c>
      <c r="AS59" t="s">
        <v>3</v>
      </c>
      <c r="AT59">
        <v>0.28000000000000003</v>
      </c>
      <c r="AU59" t="s">
        <v>86</v>
      </c>
      <c r="AV59">
        <v>0</v>
      </c>
      <c r="AW59">
        <v>2</v>
      </c>
      <c r="AX59">
        <v>60564098</v>
      </c>
      <c r="AY59">
        <v>1</v>
      </c>
      <c r="AZ59">
        <v>0</v>
      </c>
      <c r="BA59">
        <v>59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V59">
        <v>0</v>
      </c>
      <c r="CW59">
        <v>0</v>
      </c>
      <c r="CX59">
        <f>ROUND(Y59*Source!I32,7)</f>
        <v>0</v>
      </c>
      <c r="CY59">
        <f t="shared" si="52"/>
        <v>45.86</v>
      </c>
      <c r="CZ59">
        <f t="shared" si="53"/>
        <v>4.5</v>
      </c>
      <c r="DA59">
        <f t="shared" si="54"/>
        <v>10.19</v>
      </c>
      <c r="DB59">
        <f t="shared" si="55"/>
        <v>0</v>
      </c>
      <c r="DC59">
        <f t="shared" si="56"/>
        <v>0</v>
      </c>
      <c r="DD59" t="s">
        <v>3</v>
      </c>
      <c r="DE59" t="s">
        <v>3</v>
      </c>
      <c r="DF59">
        <f t="shared" si="57"/>
        <v>0</v>
      </c>
      <c r="DG59">
        <f t="shared" si="58"/>
        <v>0</v>
      </c>
      <c r="DH59">
        <f t="shared" si="59"/>
        <v>0</v>
      </c>
      <c r="DI59">
        <f t="shared" si="45"/>
        <v>0</v>
      </c>
      <c r="DJ59">
        <f t="shared" si="60"/>
        <v>0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ROW(Source!A32)</f>
        <v>32</v>
      </c>
      <c r="B60">
        <v>60563954</v>
      </c>
      <c r="C60">
        <v>60564081</v>
      </c>
      <c r="D60">
        <v>44884455</v>
      </c>
      <c r="E60">
        <v>1</v>
      </c>
      <c r="F60">
        <v>1</v>
      </c>
      <c r="G60">
        <v>1</v>
      </c>
      <c r="H60">
        <v>3</v>
      </c>
      <c r="I60" t="s">
        <v>338</v>
      </c>
      <c r="J60" t="s">
        <v>339</v>
      </c>
      <c r="K60" t="s">
        <v>340</v>
      </c>
      <c r="L60">
        <v>1348</v>
      </c>
      <c r="N60">
        <v>1009</v>
      </c>
      <c r="O60" t="s">
        <v>32</v>
      </c>
      <c r="P60" t="s">
        <v>32</v>
      </c>
      <c r="Q60">
        <v>1000</v>
      </c>
      <c r="W60">
        <v>0</v>
      </c>
      <c r="X60">
        <v>896433594</v>
      </c>
      <c r="Y60">
        <f t="shared" si="51"/>
        <v>0</v>
      </c>
      <c r="AA60">
        <v>96835.57</v>
      </c>
      <c r="AB60">
        <v>0</v>
      </c>
      <c r="AC60">
        <v>0</v>
      </c>
      <c r="AD60">
        <v>0</v>
      </c>
      <c r="AE60">
        <v>9503</v>
      </c>
      <c r="AF60">
        <v>0</v>
      </c>
      <c r="AG60">
        <v>0</v>
      </c>
      <c r="AH60">
        <v>0</v>
      </c>
      <c r="AI60">
        <v>10.19</v>
      </c>
      <c r="AJ60">
        <v>1</v>
      </c>
      <c r="AK60">
        <v>1</v>
      </c>
      <c r="AL60">
        <v>1</v>
      </c>
      <c r="AM60">
        <v>4</v>
      </c>
      <c r="AN60">
        <v>0</v>
      </c>
      <c r="AO60">
        <v>1</v>
      </c>
      <c r="AP60">
        <v>1</v>
      </c>
      <c r="AQ60">
        <v>0</v>
      </c>
      <c r="AR60">
        <v>0</v>
      </c>
      <c r="AS60" t="s">
        <v>3</v>
      </c>
      <c r="AT60">
        <v>4.0000000000000001E-3</v>
      </c>
      <c r="AU60" t="s">
        <v>86</v>
      </c>
      <c r="AV60">
        <v>0</v>
      </c>
      <c r="AW60">
        <v>2</v>
      </c>
      <c r="AX60">
        <v>60564099</v>
      </c>
      <c r="AY60">
        <v>1</v>
      </c>
      <c r="AZ60">
        <v>0</v>
      </c>
      <c r="BA60">
        <v>60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V60">
        <v>0</v>
      </c>
      <c r="CW60">
        <v>0</v>
      </c>
      <c r="CX60">
        <f>ROUND(Y60*Source!I32,7)</f>
        <v>0</v>
      </c>
      <c r="CY60">
        <f t="shared" si="52"/>
        <v>96835.57</v>
      </c>
      <c r="CZ60">
        <f t="shared" si="53"/>
        <v>9503</v>
      </c>
      <c r="DA60">
        <f t="shared" si="54"/>
        <v>10.19</v>
      </c>
      <c r="DB60">
        <f t="shared" si="55"/>
        <v>0</v>
      </c>
      <c r="DC60">
        <f t="shared" si="56"/>
        <v>0</v>
      </c>
      <c r="DD60" t="s">
        <v>3</v>
      </c>
      <c r="DE60" t="s">
        <v>3</v>
      </c>
      <c r="DF60">
        <f t="shared" si="57"/>
        <v>0</v>
      </c>
      <c r="DG60">
        <f t="shared" si="58"/>
        <v>0</v>
      </c>
      <c r="DH60">
        <f t="shared" si="59"/>
        <v>0</v>
      </c>
      <c r="DI60">
        <f t="shared" si="45"/>
        <v>0</v>
      </c>
      <c r="DJ60">
        <f t="shared" si="60"/>
        <v>0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ROW(Source!A32)</f>
        <v>32</v>
      </c>
      <c r="B61">
        <v>60563954</v>
      </c>
      <c r="C61">
        <v>60564081</v>
      </c>
      <c r="D61">
        <v>44885621</v>
      </c>
      <c r="E61">
        <v>1</v>
      </c>
      <c r="F61">
        <v>1</v>
      </c>
      <c r="G61">
        <v>1</v>
      </c>
      <c r="H61">
        <v>3</v>
      </c>
      <c r="I61" t="s">
        <v>261</v>
      </c>
      <c r="J61" t="s">
        <v>262</v>
      </c>
      <c r="K61" t="s">
        <v>263</v>
      </c>
      <c r="L61">
        <v>1346</v>
      </c>
      <c r="N61">
        <v>1009</v>
      </c>
      <c r="O61" t="s">
        <v>257</v>
      </c>
      <c r="P61" t="s">
        <v>257</v>
      </c>
      <c r="Q61">
        <v>1</v>
      </c>
      <c r="W61">
        <v>0</v>
      </c>
      <c r="X61">
        <v>-1864341761</v>
      </c>
      <c r="Y61">
        <f t="shared" si="51"/>
        <v>0</v>
      </c>
      <c r="AA61">
        <v>92.12</v>
      </c>
      <c r="AB61">
        <v>0</v>
      </c>
      <c r="AC61">
        <v>0</v>
      </c>
      <c r="AD61">
        <v>0</v>
      </c>
      <c r="AE61">
        <v>9.0399999999999991</v>
      </c>
      <c r="AF61">
        <v>0</v>
      </c>
      <c r="AG61">
        <v>0</v>
      </c>
      <c r="AH61">
        <v>0</v>
      </c>
      <c r="AI61">
        <v>10.19</v>
      </c>
      <c r="AJ61">
        <v>1</v>
      </c>
      <c r="AK61">
        <v>1</v>
      </c>
      <c r="AL61">
        <v>1</v>
      </c>
      <c r="AM61">
        <v>4</v>
      </c>
      <c r="AN61">
        <v>0</v>
      </c>
      <c r="AO61">
        <v>1</v>
      </c>
      <c r="AP61">
        <v>1</v>
      </c>
      <c r="AQ61">
        <v>0</v>
      </c>
      <c r="AR61">
        <v>0</v>
      </c>
      <c r="AS61" t="s">
        <v>3</v>
      </c>
      <c r="AT61">
        <v>1.45</v>
      </c>
      <c r="AU61" t="s">
        <v>86</v>
      </c>
      <c r="AV61">
        <v>0</v>
      </c>
      <c r="AW61">
        <v>2</v>
      </c>
      <c r="AX61">
        <v>60564100</v>
      </c>
      <c r="AY61">
        <v>1</v>
      </c>
      <c r="AZ61">
        <v>0</v>
      </c>
      <c r="BA61">
        <v>61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V61">
        <v>0</v>
      </c>
      <c r="CW61">
        <v>0</v>
      </c>
      <c r="CX61">
        <f>ROUND(Y61*Source!I32,7)</f>
        <v>0</v>
      </c>
      <c r="CY61">
        <f t="shared" si="52"/>
        <v>92.12</v>
      </c>
      <c r="CZ61">
        <f t="shared" si="53"/>
        <v>9.0399999999999991</v>
      </c>
      <c r="DA61">
        <f t="shared" si="54"/>
        <v>10.19</v>
      </c>
      <c r="DB61">
        <f t="shared" si="55"/>
        <v>0</v>
      </c>
      <c r="DC61">
        <f t="shared" si="56"/>
        <v>0</v>
      </c>
      <c r="DD61" t="s">
        <v>3</v>
      </c>
      <c r="DE61" t="s">
        <v>3</v>
      </c>
      <c r="DF61">
        <f t="shared" si="57"/>
        <v>0</v>
      </c>
      <c r="DG61">
        <f t="shared" si="58"/>
        <v>0</v>
      </c>
      <c r="DH61">
        <f t="shared" si="59"/>
        <v>0</v>
      </c>
      <c r="DI61">
        <f t="shared" si="45"/>
        <v>0</v>
      </c>
      <c r="DJ61">
        <f t="shared" si="60"/>
        <v>0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ROW(Source!A32)</f>
        <v>32</v>
      </c>
      <c r="B62">
        <v>60563954</v>
      </c>
      <c r="C62">
        <v>60564081</v>
      </c>
      <c r="D62">
        <v>44885720</v>
      </c>
      <c r="E62">
        <v>1</v>
      </c>
      <c r="F62">
        <v>1</v>
      </c>
      <c r="G62">
        <v>1</v>
      </c>
      <c r="H62">
        <v>3</v>
      </c>
      <c r="I62" t="s">
        <v>264</v>
      </c>
      <c r="J62" t="s">
        <v>265</v>
      </c>
      <c r="K62" t="s">
        <v>266</v>
      </c>
      <c r="L62">
        <v>1348</v>
      </c>
      <c r="N62">
        <v>1009</v>
      </c>
      <c r="O62" t="s">
        <v>32</v>
      </c>
      <c r="P62" t="s">
        <v>32</v>
      </c>
      <c r="Q62">
        <v>1000</v>
      </c>
      <c r="W62">
        <v>0</v>
      </c>
      <c r="X62">
        <v>-45966985</v>
      </c>
      <c r="Y62">
        <f t="shared" si="51"/>
        <v>0</v>
      </c>
      <c r="AA62">
        <v>122055.82</v>
      </c>
      <c r="AB62">
        <v>0</v>
      </c>
      <c r="AC62">
        <v>0</v>
      </c>
      <c r="AD62">
        <v>0</v>
      </c>
      <c r="AE62">
        <v>11978</v>
      </c>
      <c r="AF62">
        <v>0</v>
      </c>
      <c r="AG62">
        <v>0</v>
      </c>
      <c r="AH62">
        <v>0</v>
      </c>
      <c r="AI62">
        <v>10.19</v>
      </c>
      <c r="AJ62">
        <v>1</v>
      </c>
      <c r="AK62">
        <v>1</v>
      </c>
      <c r="AL62">
        <v>1</v>
      </c>
      <c r="AM62">
        <v>4</v>
      </c>
      <c r="AN62">
        <v>0</v>
      </c>
      <c r="AO62">
        <v>1</v>
      </c>
      <c r="AP62">
        <v>1</v>
      </c>
      <c r="AQ62">
        <v>0</v>
      </c>
      <c r="AR62">
        <v>0</v>
      </c>
      <c r="AS62" t="s">
        <v>3</v>
      </c>
      <c r="AT62">
        <v>1.0000000000000001E-5</v>
      </c>
      <c r="AU62" t="s">
        <v>86</v>
      </c>
      <c r="AV62">
        <v>0</v>
      </c>
      <c r="AW62">
        <v>2</v>
      </c>
      <c r="AX62">
        <v>60564101</v>
      </c>
      <c r="AY62">
        <v>1</v>
      </c>
      <c r="AZ62">
        <v>0</v>
      </c>
      <c r="BA62">
        <v>62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V62">
        <v>0</v>
      </c>
      <c r="CW62">
        <v>0</v>
      </c>
      <c r="CX62">
        <f>ROUND(Y62*Source!I32,7)</f>
        <v>0</v>
      </c>
      <c r="CY62">
        <f t="shared" si="52"/>
        <v>122055.82</v>
      </c>
      <c r="CZ62">
        <f t="shared" si="53"/>
        <v>11978</v>
      </c>
      <c r="DA62">
        <f t="shared" si="54"/>
        <v>10.19</v>
      </c>
      <c r="DB62">
        <f t="shared" si="55"/>
        <v>0</v>
      </c>
      <c r="DC62">
        <f t="shared" si="56"/>
        <v>0</v>
      </c>
      <c r="DD62" t="s">
        <v>3</v>
      </c>
      <c r="DE62" t="s">
        <v>3</v>
      </c>
      <c r="DF62">
        <f t="shared" si="57"/>
        <v>0</v>
      </c>
      <c r="DG62">
        <f t="shared" si="58"/>
        <v>0</v>
      </c>
      <c r="DH62">
        <f t="shared" si="59"/>
        <v>0</v>
      </c>
      <c r="DI62">
        <f t="shared" si="45"/>
        <v>0</v>
      </c>
      <c r="DJ62">
        <f t="shared" si="60"/>
        <v>0</v>
      </c>
      <c r="DK62">
        <v>0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ROW(Source!A32)</f>
        <v>32</v>
      </c>
      <c r="B63">
        <v>60563954</v>
      </c>
      <c r="C63">
        <v>60564081</v>
      </c>
      <c r="D63">
        <v>44886816</v>
      </c>
      <c r="E63">
        <v>1</v>
      </c>
      <c r="F63">
        <v>1</v>
      </c>
      <c r="G63">
        <v>1</v>
      </c>
      <c r="H63">
        <v>3</v>
      </c>
      <c r="I63" t="s">
        <v>267</v>
      </c>
      <c r="J63" t="s">
        <v>268</v>
      </c>
      <c r="K63" t="s">
        <v>269</v>
      </c>
      <c r="L63">
        <v>1348</v>
      </c>
      <c r="N63">
        <v>1009</v>
      </c>
      <c r="O63" t="s">
        <v>32</v>
      </c>
      <c r="P63" t="s">
        <v>32</v>
      </c>
      <c r="Q63">
        <v>1000</v>
      </c>
      <c r="W63">
        <v>0</v>
      </c>
      <c r="X63">
        <v>-1671348935</v>
      </c>
      <c r="Y63">
        <f t="shared" si="51"/>
        <v>0</v>
      </c>
      <c r="AA63">
        <v>386201</v>
      </c>
      <c r="AB63">
        <v>0</v>
      </c>
      <c r="AC63">
        <v>0</v>
      </c>
      <c r="AD63">
        <v>0</v>
      </c>
      <c r="AE63">
        <v>37900</v>
      </c>
      <c r="AF63">
        <v>0</v>
      </c>
      <c r="AG63">
        <v>0</v>
      </c>
      <c r="AH63">
        <v>0</v>
      </c>
      <c r="AI63">
        <v>10.19</v>
      </c>
      <c r="AJ63">
        <v>1</v>
      </c>
      <c r="AK63">
        <v>1</v>
      </c>
      <c r="AL63">
        <v>1</v>
      </c>
      <c r="AM63">
        <v>4</v>
      </c>
      <c r="AN63">
        <v>0</v>
      </c>
      <c r="AO63">
        <v>1</v>
      </c>
      <c r="AP63">
        <v>1</v>
      </c>
      <c r="AQ63">
        <v>0</v>
      </c>
      <c r="AR63">
        <v>0</v>
      </c>
      <c r="AS63" t="s">
        <v>3</v>
      </c>
      <c r="AT63">
        <v>1E-4</v>
      </c>
      <c r="AU63" t="s">
        <v>86</v>
      </c>
      <c r="AV63">
        <v>0</v>
      </c>
      <c r="AW63">
        <v>2</v>
      </c>
      <c r="AX63">
        <v>60564102</v>
      </c>
      <c r="AY63">
        <v>1</v>
      </c>
      <c r="AZ63">
        <v>0</v>
      </c>
      <c r="BA63">
        <v>63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V63">
        <v>0</v>
      </c>
      <c r="CW63">
        <v>0</v>
      </c>
      <c r="CX63">
        <f>ROUND(Y63*Source!I32,7)</f>
        <v>0</v>
      </c>
      <c r="CY63">
        <f t="shared" si="52"/>
        <v>386201</v>
      </c>
      <c r="CZ63">
        <f t="shared" si="53"/>
        <v>37900</v>
      </c>
      <c r="DA63">
        <f t="shared" si="54"/>
        <v>10.19</v>
      </c>
      <c r="DB63">
        <f t="shared" si="55"/>
        <v>0</v>
      </c>
      <c r="DC63">
        <f t="shared" si="56"/>
        <v>0</v>
      </c>
      <c r="DD63" t="s">
        <v>3</v>
      </c>
      <c r="DE63" t="s">
        <v>3</v>
      </c>
      <c r="DF63">
        <f t="shared" si="57"/>
        <v>0</v>
      </c>
      <c r="DG63">
        <f t="shared" si="58"/>
        <v>0</v>
      </c>
      <c r="DH63">
        <f t="shared" si="59"/>
        <v>0</v>
      </c>
      <c r="DI63">
        <f t="shared" si="45"/>
        <v>0</v>
      </c>
      <c r="DJ63">
        <f t="shared" si="60"/>
        <v>0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 x14ac:dyDescent="0.2">
      <c r="A64">
        <f>ROW(Source!A32)</f>
        <v>32</v>
      </c>
      <c r="B64">
        <v>60563954</v>
      </c>
      <c r="C64">
        <v>60564081</v>
      </c>
      <c r="D64">
        <v>44894001</v>
      </c>
      <c r="E64">
        <v>1</v>
      </c>
      <c r="F64">
        <v>1</v>
      </c>
      <c r="G64">
        <v>1</v>
      </c>
      <c r="H64">
        <v>3</v>
      </c>
      <c r="I64" t="s">
        <v>341</v>
      </c>
      <c r="J64" t="s">
        <v>342</v>
      </c>
      <c r="K64" t="s">
        <v>343</v>
      </c>
      <c r="L64">
        <v>1339</v>
      </c>
      <c r="N64">
        <v>1007</v>
      </c>
      <c r="O64" t="s">
        <v>219</v>
      </c>
      <c r="P64" t="s">
        <v>219</v>
      </c>
      <c r="Q64">
        <v>1</v>
      </c>
      <c r="W64">
        <v>0</v>
      </c>
      <c r="X64">
        <v>-563685335</v>
      </c>
      <c r="Y64">
        <f t="shared" si="51"/>
        <v>0</v>
      </c>
      <c r="AA64">
        <v>14367.9</v>
      </c>
      <c r="AB64">
        <v>0</v>
      </c>
      <c r="AC64">
        <v>0</v>
      </c>
      <c r="AD64">
        <v>0</v>
      </c>
      <c r="AE64">
        <v>1410</v>
      </c>
      <c r="AF64">
        <v>0</v>
      </c>
      <c r="AG64">
        <v>0</v>
      </c>
      <c r="AH64">
        <v>0</v>
      </c>
      <c r="AI64">
        <v>10.19</v>
      </c>
      <c r="AJ64">
        <v>1</v>
      </c>
      <c r="AK64">
        <v>1</v>
      </c>
      <c r="AL64">
        <v>1</v>
      </c>
      <c r="AM64">
        <v>4</v>
      </c>
      <c r="AN64">
        <v>0</v>
      </c>
      <c r="AO64">
        <v>1</v>
      </c>
      <c r="AP64">
        <v>1</v>
      </c>
      <c r="AQ64">
        <v>0</v>
      </c>
      <c r="AR64">
        <v>0</v>
      </c>
      <c r="AS64" t="s">
        <v>3</v>
      </c>
      <c r="AT64">
        <v>0.02</v>
      </c>
      <c r="AU64" t="s">
        <v>86</v>
      </c>
      <c r="AV64">
        <v>0</v>
      </c>
      <c r="AW64">
        <v>2</v>
      </c>
      <c r="AX64">
        <v>60564103</v>
      </c>
      <c r="AY64">
        <v>1</v>
      </c>
      <c r="AZ64">
        <v>0</v>
      </c>
      <c r="BA64">
        <v>64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V64">
        <v>0</v>
      </c>
      <c r="CW64">
        <v>0</v>
      </c>
      <c r="CX64">
        <f>ROUND(Y64*Source!I32,7)</f>
        <v>0</v>
      </c>
      <c r="CY64">
        <f t="shared" si="52"/>
        <v>14367.9</v>
      </c>
      <c r="CZ64">
        <f t="shared" si="53"/>
        <v>1410</v>
      </c>
      <c r="DA64">
        <f t="shared" si="54"/>
        <v>10.19</v>
      </c>
      <c r="DB64">
        <f t="shared" si="55"/>
        <v>0</v>
      </c>
      <c r="DC64">
        <f t="shared" si="56"/>
        <v>0</v>
      </c>
      <c r="DD64" t="s">
        <v>3</v>
      </c>
      <c r="DE64" t="s">
        <v>3</v>
      </c>
      <c r="DF64">
        <f t="shared" si="57"/>
        <v>0</v>
      </c>
      <c r="DG64">
        <f t="shared" si="58"/>
        <v>0</v>
      </c>
      <c r="DH64">
        <f t="shared" si="59"/>
        <v>0</v>
      </c>
      <c r="DI64">
        <f t="shared" si="45"/>
        <v>0</v>
      </c>
      <c r="DJ64">
        <f t="shared" si="60"/>
        <v>0</v>
      </c>
      <c r="DK64">
        <v>0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ROW(Source!A32)</f>
        <v>32</v>
      </c>
      <c r="B65">
        <v>60563954</v>
      </c>
      <c r="C65">
        <v>60564081</v>
      </c>
      <c r="D65">
        <v>44900368</v>
      </c>
      <c r="E65">
        <v>1</v>
      </c>
      <c r="F65">
        <v>1</v>
      </c>
      <c r="G65">
        <v>1</v>
      </c>
      <c r="H65">
        <v>3</v>
      </c>
      <c r="I65" t="s">
        <v>270</v>
      </c>
      <c r="J65" t="s">
        <v>271</v>
      </c>
      <c r="K65" t="s">
        <v>272</v>
      </c>
      <c r="L65">
        <v>1348</v>
      </c>
      <c r="N65">
        <v>1009</v>
      </c>
      <c r="O65" t="s">
        <v>32</v>
      </c>
      <c r="P65" t="s">
        <v>32</v>
      </c>
      <c r="Q65">
        <v>1000</v>
      </c>
      <c r="W65">
        <v>0</v>
      </c>
      <c r="X65">
        <v>-1915778085</v>
      </c>
      <c r="Y65">
        <f t="shared" si="51"/>
        <v>0</v>
      </c>
      <c r="AA65">
        <v>78585.279999999999</v>
      </c>
      <c r="AB65">
        <v>0</v>
      </c>
      <c r="AC65">
        <v>0</v>
      </c>
      <c r="AD65">
        <v>0</v>
      </c>
      <c r="AE65">
        <v>7712</v>
      </c>
      <c r="AF65">
        <v>0</v>
      </c>
      <c r="AG65">
        <v>0</v>
      </c>
      <c r="AH65">
        <v>0</v>
      </c>
      <c r="AI65">
        <v>10.19</v>
      </c>
      <c r="AJ65">
        <v>1</v>
      </c>
      <c r="AK65">
        <v>1</v>
      </c>
      <c r="AL65">
        <v>1</v>
      </c>
      <c r="AM65">
        <v>4</v>
      </c>
      <c r="AN65">
        <v>0</v>
      </c>
      <c r="AO65">
        <v>1</v>
      </c>
      <c r="AP65">
        <v>1</v>
      </c>
      <c r="AQ65">
        <v>0</v>
      </c>
      <c r="AR65">
        <v>0</v>
      </c>
      <c r="AS65" t="s">
        <v>3</v>
      </c>
      <c r="AT65">
        <v>3.5999999999999997E-2</v>
      </c>
      <c r="AU65" t="s">
        <v>86</v>
      </c>
      <c r="AV65">
        <v>0</v>
      </c>
      <c r="AW65">
        <v>2</v>
      </c>
      <c r="AX65">
        <v>60564104</v>
      </c>
      <c r="AY65">
        <v>1</v>
      </c>
      <c r="AZ65">
        <v>0</v>
      </c>
      <c r="BA65">
        <v>65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V65">
        <v>0</v>
      </c>
      <c r="CW65">
        <v>0</v>
      </c>
      <c r="CX65">
        <f>ROUND(Y65*Source!I32,7)</f>
        <v>0</v>
      </c>
      <c r="CY65">
        <f t="shared" si="52"/>
        <v>78585.279999999999</v>
      </c>
      <c r="CZ65">
        <f t="shared" si="53"/>
        <v>7712</v>
      </c>
      <c r="DA65">
        <f t="shared" si="54"/>
        <v>10.19</v>
      </c>
      <c r="DB65">
        <f t="shared" si="55"/>
        <v>0</v>
      </c>
      <c r="DC65">
        <f t="shared" si="56"/>
        <v>0</v>
      </c>
      <c r="DD65" t="s">
        <v>3</v>
      </c>
      <c r="DE65" t="s">
        <v>3</v>
      </c>
      <c r="DF65">
        <f t="shared" si="57"/>
        <v>0</v>
      </c>
      <c r="DG65">
        <f t="shared" si="58"/>
        <v>0</v>
      </c>
      <c r="DH65">
        <f t="shared" si="59"/>
        <v>0</v>
      </c>
      <c r="DI65">
        <f t="shared" si="45"/>
        <v>0</v>
      </c>
      <c r="DJ65">
        <f t="shared" si="60"/>
        <v>0</v>
      </c>
      <c r="DK65">
        <v>0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ROW(Source!A32)</f>
        <v>32</v>
      </c>
      <c r="B66">
        <v>60563954</v>
      </c>
      <c r="C66">
        <v>60564081</v>
      </c>
      <c r="D66">
        <v>44872833</v>
      </c>
      <c r="E66">
        <v>70</v>
      </c>
      <c r="F66">
        <v>1</v>
      </c>
      <c r="G66">
        <v>1</v>
      </c>
      <c r="H66">
        <v>3</v>
      </c>
      <c r="I66" t="s">
        <v>43</v>
      </c>
      <c r="J66" t="s">
        <v>3</v>
      </c>
      <c r="K66" t="s">
        <v>44</v>
      </c>
      <c r="L66">
        <v>1348</v>
      </c>
      <c r="N66">
        <v>1009</v>
      </c>
      <c r="O66" t="s">
        <v>32</v>
      </c>
      <c r="P66" t="s">
        <v>32</v>
      </c>
      <c r="Q66">
        <v>1000</v>
      </c>
      <c r="W66">
        <v>0</v>
      </c>
      <c r="X66">
        <v>748648226</v>
      </c>
      <c r="Y66">
        <f t="shared" si="51"/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10.19</v>
      </c>
      <c r="AJ66">
        <v>1</v>
      </c>
      <c r="AK66">
        <v>1</v>
      </c>
      <c r="AL66">
        <v>1</v>
      </c>
      <c r="AM66">
        <v>0</v>
      </c>
      <c r="AN66">
        <v>0</v>
      </c>
      <c r="AO66">
        <v>0</v>
      </c>
      <c r="AP66">
        <v>1</v>
      </c>
      <c r="AQ66">
        <v>0</v>
      </c>
      <c r="AR66">
        <v>0</v>
      </c>
      <c r="AS66" t="s">
        <v>3</v>
      </c>
      <c r="AT66">
        <v>1</v>
      </c>
      <c r="AU66" t="s">
        <v>86</v>
      </c>
      <c r="AV66">
        <v>0</v>
      </c>
      <c r="AW66">
        <v>2</v>
      </c>
      <c r="AX66">
        <v>60564105</v>
      </c>
      <c r="AY66">
        <v>1</v>
      </c>
      <c r="AZ66">
        <v>0</v>
      </c>
      <c r="BA66">
        <v>66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V66">
        <v>0</v>
      </c>
      <c r="CW66">
        <v>0</v>
      </c>
      <c r="CX66">
        <f>ROUND(Y66*Source!I32,7)</f>
        <v>0</v>
      </c>
      <c r="CY66">
        <f t="shared" si="52"/>
        <v>0</v>
      </c>
      <c r="CZ66">
        <f t="shared" si="53"/>
        <v>0</v>
      </c>
      <c r="DA66">
        <f t="shared" si="54"/>
        <v>10.19</v>
      </c>
      <c r="DB66">
        <f t="shared" si="55"/>
        <v>0</v>
      </c>
      <c r="DC66">
        <f t="shared" si="56"/>
        <v>0</v>
      </c>
      <c r="DD66" t="s">
        <v>3</v>
      </c>
      <c r="DE66" t="s">
        <v>3</v>
      </c>
      <c r="DF66">
        <f t="shared" si="57"/>
        <v>0</v>
      </c>
      <c r="DG66">
        <f t="shared" si="58"/>
        <v>0</v>
      </c>
      <c r="DH66">
        <f t="shared" si="59"/>
        <v>0</v>
      </c>
      <c r="DI66">
        <f t="shared" si="45"/>
        <v>0</v>
      </c>
      <c r="DJ66">
        <f t="shared" si="60"/>
        <v>0</v>
      </c>
      <c r="DK66">
        <v>0</v>
      </c>
      <c r="DL66" t="s">
        <v>3</v>
      </c>
      <c r="DM66">
        <v>0</v>
      </c>
      <c r="DN66" t="s">
        <v>3</v>
      </c>
      <c r="DO66">
        <v>0</v>
      </c>
    </row>
    <row r="67" spans="1:119" x14ac:dyDescent="0.2">
      <c r="A67">
        <f>ROW(Source!A32)</f>
        <v>32</v>
      </c>
      <c r="B67">
        <v>60563954</v>
      </c>
      <c r="C67">
        <v>60564081</v>
      </c>
      <c r="D67">
        <v>44902465</v>
      </c>
      <c r="E67">
        <v>1</v>
      </c>
      <c r="F67">
        <v>1</v>
      </c>
      <c r="G67">
        <v>1</v>
      </c>
      <c r="H67">
        <v>3</v>
      </c>
      <c r="I67" t="s">
        <v>273</v>
      </c>
      <c r="J67" t="s">
        <v>274</v>
      </c>
      <c r="K67" t="s">
        <v>275</v>
      </c>
      <c r="L67">
        <v>1302</v>
      </c>
      <c r="N67">
        <v>1003</v>
      </c>
      <c r="O67" t="s">
        <v>276</v>
      </c>
      <c r="P67" t="s">
        <v>276</v>
      </c>
      <c r="Q67">
        <v>10</v>
      </c>
      <c r="W67">
        <v>0</v>
      </c>
      <c r="X67">
        <v>581091037</v>
      </c>
      <c r="Y67">
        <f t="shared" si="51"/>
        <v>0</v>
      </c>
      <c r="AA67">
        <v>511.95</v>
      </c>
      <c r="AB67">
        <v>0</v>
      </c>
      <c r="AC67">
        <v>0</v>
      </c>
      <c r="AD67">
        <v>0</v>
      </c>
      <c r="AE67">
        <v>50.24</v>
      </c>
      <c r="AF67">
        <v>0</v>
      </c>
      <c r="AG67">
        <v>0</v>
      </c>
      <c r="AH67">
        <v>0</v>
      </c>
      <c r="AI67">
        <v>10.19</v>
      </c>
      <c r="AJ67">
        <v>1</v>
      </c>
      <c r="AK67">
        <v>1</v>
      </c>
      <c r="AL67">
        <v>1</v>
      </c>
      <c r="AM67">
        <v>4</v>
      </c>
      <c r="AN67">
        <v>0</v>
      </c>
      <c r="AO67">
        <v>1</v>
      </c>
      <c r="AP67">
        <v>1</v>
      </c>
      <c r="AQ67">
        <v>0</v>
      </c>
      <c r="AR67">
        <v>0</v>
      </c>
      <c r="AS67" t="s">
        <v>3</v>
      </c>
      <c r="AT67">
        <v>1.8700000000000001E-2</v>
      </c>
      <c r="AU67" t="s">
        <v>86</v>
      </c>
      <c r="AV67">
        <v>0</v>
      </c>
      <c r="AW67">
        <v>2</v>
      </c>
      <c r="AX67">
        <v>60564106</v>
      </c>
      <c r="AY67">
        <v>1</v>
      </c>
      <c r="AZ67">
        <v>0</v>
      </c>
      <c r="BA67">
        <v>67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V67">
        <v>0</v>
      </c>
      <c r="CW67">
        <v>0</v>
      </c>
      <c r="CX67">
        <f>ROUND(Y67*Source!I32,7)</f>
        <v>0</v>
      </c>
      <c r="CY67">
        <f t="shared" si="52"/>
        <v>511.95</v>
      </c>
      <c r="CZ67">
        <f t="shared" si="53"/>
        <v>50.24</v>
      </c>
      <c r="DA67">
        <f t="shared" si="54"/>
        <v>10.19</v>
      </c>
      <c r="DB67">
        <f t="shared" si="55"/>
        <v>0</v>
      </c>
      <c r="DC67">
        <f t="shared" si="56"/>
        <v>0</v>
      </c>
      <c r="DD67" t="s">
        <v>3</v>
      </c>
      <c r="DE67" t="s">
        <v>3</v>
      </c>
      <c r="DF67">
        <f t="shared" si="57"/>
        <v>0</v>
      </c>
      <c r="DG67">
        <f t="shared" si="58"/>
        <v>0</v>
      </c>
      <c r="DH67">
        <f t="shared" si="59"/>
        <v>0</v>
      </c>
      <c r="DI67">
        <f t="shared" si="45"/>
        <v>0</v>
      </c>
      <c r="DJ67">
        <f t="shared" si="60"/>
        <v>0</v>
      </c>
      <c r="DK67">
        <v>0</v>
      </c>
      <c r="DL67" t="s">
        <v>3</v>
      </c>
      <c r="DM67">
        <v>0</v>
      </c>
      <c r="DN67" t="s">
        <v>3</v>
      </c>
      <c r="DO67">
        <v>0</v>
      </c>
    </row>
    <row r="68" spans="1:119" x14ac:dyDescent="0.2">
      <c r="A68">
        <f>ROW(Source!A32)</f>
        <v>32</v>
      </c>
      <c r="B68">
        <v>60563954</v>
      </c>
      <c r="C68">
        <v>60564081</v>
      </c>
      <c r="D68">
        <v>44902820</v>
      </c>
      <c r="E68">
        <v>1</v>
      </c>
      <c r="F68">
        <v>1</v>
      </c>
      <c r="G68">
        <v>1</v>
      </c>
      <c r="H68">
        <v>3</v>
      </c>
      <c r="I68" t="s">
        <v>277</v>
      </c>
      <c r="J68" t="s">
        <v>278</v>
      </c>
      <c r="K68" t="s">
        <v>279</v>
      </c>
      <c r="L68">
        <v>1348</v>
      </c>
      <c r="N68">
        <v>1009</v>
      </c>
      <c r="O68" t="s">
        <v>32</v>
      </c>
      <c r="P68" t="s">
        <v>32</v>
      </c>
      <c r="Q68">
        <v>1000</v>
      </c>
      <c r="W68">
        <v>0</v>
      </c>
      <c r="X68">
        <v>-120483918</v>
      </c>
      <c r="Y68">
        <f t="shared" si="51"/>
        <v>0</v>
      </c>
      <c r="AA68">
        <v>45398.49</v>
      </c>
      <c r="AB68">
        <v>0</v>
      </c>
      <c r="AC68">
        <v>0</v>
      </c>
      <c r="AD68">
        <v>0</v>
      </c>
      <c r="AE68">
        <v>4455.2</v>
      </c>
      <c r="AF68">
        <v>0</v>
      </c>
      <c r="AG68">
        <v>0</v>
      </c>
      <c r="AH68">
        <v>0</v>
      </c>
      <c r="AI68">
        <v>10.19</v>
      </c>
      <c r="AJ68">
        <v>1</v>
      </c>
      <c r="AK68">
        <v>1</v>
      </c>
      <c r="AL68">
        <v>1</v>
      </c>
      <c r="AM68">
        <v>4</v>
      </c>
      <c r="AN68">
        <v>0</v>
      </c>
      <c r="AO68">
        <v>1</v>
      </c>
      <c r="AP68">
        <v>1</v>
      </c>
      <c r="AQ68">
        <v>0</v>
      </c>
      <c r="AR68">
        <v>0</v>
      </c>
      <c r="AS68" t="s">
        <v>3</v>
      </c>
      <c r="AT68">
        <v>3.0000000000000001E-5</v>
      </c>
      <c r="AU68" t="s">
        <v>86</v>
      </c>
      <c r="AV68">
        <v>0</v>
      </c>
      <c r="AW68">
        <v>2</v>
      </c>
      <c r="AX68">
        <v>60564107</v>
      </c>
      <c r="AY68">
        <v>1</v>
      </c>
      <c r="AZ68">
        <v>0</v>
      </c>
      <c r="BA68">
        <v>68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V68">
        <v>0</v>
      </c>
      <c r="CW68">
        <v>0</v>
      </c>
      <c r="CX68">
        <f>ROUND(Y68*Source!I32,7)</f>
        <v>0</v>
      </c>
      <c r="CY68">
        <f t="shared" si="52"/>
        <v>45398.49</v>
      </c>
      <c r="CZ68">
        <f t="shared" si="53"/>
        <v>4455.2</v>
      </c>
      <c r="DA68">
        <f t="shared" si="54"/>
        <v>10.19</v>
      </c>
      <c r="DB68">
        <f t="shared" si="55"/>
        <v>0</v>
      </c>
      <c r="DC68">
        <f t="shared" si="56"/>
        <v>0</v>
      </c>
      <c r="DD68" t="s">
        <v>3</v>
      </c>
      <c r="DE68" t="s">
        <v>3</v>
      </c>
      <c r="DF68">
        <f t="shared" si="57"/>
        <v>0</v>
      </c>
      <c r="DG68">
        <f t="shared" si="58"/>
        <v>0</v>
      </c>
      <c r="DH68">
        <f t="shared" si="59"/>
        <v>0</v>
      </c>
      <c r="DI68">
        <f t="shared" si="45"/>
        <v>0</v>
      </c>
      <c r="DJ68">
        <f t="shared" si="60"/>
        <v>0</v>
      </c>
      <c r="DK68">
        <v>0</v>
      </c>
      <c r="DL68" t="s">
        <v>3</v>
      </c>
      <c r="DM68">
        <v>0</v>
      </c>
      <c r="DN68" t="s">
        <v>3</v>
      </c>
      <c r="DO68">
        <v>0</v>
      </c>
    </row>
    <row r="69" spans="1:119" x14ac:dyDescent="0.2">
      <c r="A69">
        <f>ROW(Source!A32)</f>
        <v>32</v>
      </c>
      <c r="B69">
        <v>60563954</v>
      </c>
      <c r="C69">
        <v>60564081</v>
      </c>
      <c r="D69">
        <v>44903543</v>
      </c>
      <c r="E69">
        <v>1</v>
      </c>
      <c r="F69">
        <v>1</v>
      </c>
      <c r="G69">
        <v>1</v>
      </c>
      <c r="H69">
        <v>3</v>
      </c>
      <c r="I69" t="s">
        <v>280</v>
      </c>
      <c r="J69" t="s">
        <v>281</v>
      </c>
      <c r="K69" t="s">
        <v>282</v>
      </c>
      <c r="L69">
        <v>1348</v>
      </c>
      <c r="N69">
        <v>1009</v>
      </c>
      <c r="O69" t="s">
        <v>32</v>
      </c>
      <c r="P69" t="s">
        <v>32</v>
      </c>
      <c r="Q69">
        <v>1000</v>
      </c>
      <c r="W69">
        <v>0</v>
      </c>
      <c r="X69">
        <v>834877976</v>
      </c>
      <c r="Y69">
        <f t="shared" si="51"/>
        <v>0</v>
      </c>
      <c r="AA69">
        <v>50134.8</v>
      </c>
      <c r="AB69">
        <v>0</v>
      </c>
      <c r="AC69">
        <v>0</v>
      </c>
      <c r="AD69">
        <v>0</v>
      </c>
      <c r="AE69">
        <v>4920</v>
      </c>
      <c r="AF69">
        <v>0</v>
      </c>
      <c r="AG69">
        <v>0</v>
      </c>
      <c r="AH69">
        <v>0</v>
      </c>
      <c r="AI69">
        <v>10.19</v>
      </c>
      <c r="AJ69">
        <v>1</v>
      </c>
      <c r="AK69">
        <v>1</v>
      </c>
      <c r="AL69">
        <v>1</v>
      </c>
      <c r="AM69">
        <v>4</v>
      </c>
      <c r="AN69">
        <v>0</v>
      </c>
      <c r="AO69">
        <v>1</v>
      </c>
      <c r="AP69">
        <v>1</v>
      </c>
      <c r="AQ69">
        <v>0</v>
      </c>
      <c r="AR69">
        <v>0</v>
      </c>
      <c r="AS69" t="s">
        <v>3</v>
      </c>
      <c r="AT69">
        <v>1.9400000000000001E-3</v>
      </c>
      <c r="AU69" t="s">
        <v>86</v>
      </c>
      <c r="AV69">
        <v>0</v>
      </c>
      <c r="AW69">
        <v>2</v>
      </c>
      <c r="AX69">
        <v>60564108</v>
      </c>
      <c r="AY69">
        <v>1</v>
      </c>
      <c r="AZ69">
        <v>0</v>
      </c>
      <c r="BA69">
        <v>69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V69">
        <v>0</v>
      </c>
      <c r="CW69">
        <v>0</v>
      </c>
      <c r="CX69">
        <f>ROUND(Y69*Source!I32,7)</f>
        <v>0</v>
      </c>
      <c r="CY69">
        <f t="shared" si="52"/>
        <v>50134.8</v>
      </c>
      <c r="CZ69">
        <f t="shared" si="53"/>
        <v>4920</v>
      </c>
      <c r="DA69">
        <f t="shared" si="54"/>
        <v>10.19</v>
      </c>
      <c r="DB69">
        <f t="shared" si="55"/>
        <v>0</v>
      </c>
      <c r="DC69">
        <f t="shared" si="56"/>
        <v>0</v>
      </c>
      <c r="DD69" t="s">
        <v>3</v>
      </c>
      <c r="DE69" t="s">
        <v>3</v>
      </c>
      <c r="DF69">
        <f t="shared" si="57"/>
        <v>0</v>
      </c>
      <c r="DG69">
        <f t="shared" si="58"/>
        <v>0</v>
      </c>
      <c r="DH69">
        <f t="shared" si="59"/>
        <v>0</v>
      </c>
      <c r="DI69">
        <f t="shared" si="45"/>
        <v>0</v>
      </c>
      <c r="DJ69">
        <f t="shared" si="60"/>
        <v>0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ROW(Source!A32)</f>
        <v>32</v>
      </c>
      <c r="B70">
        <v>60563954</v>
      </c>
      <c r="C70">
        <v>60564081</v>
      </c>
      <c r="D70">
        <v>44906806</v>
      </c>
      <c r="E70">
        <v>1</v>
      </c>
      <c r="F70">
        <v>1</v>
      </c>
      <c r="G70">
        <v>1</v>
      </c>
      <c r="H70">
        <v>3</v>
      </c>
      <c r="I70" t="s">
        <v>283</v>
      </c>
      <c r="J70" t="s">
        <v>284</v>
      </c>
      <c r="K70" t="s">
        <v>285</v>
      </c>
      <c r="L70">
        <v>1339</v>
      </c>
      <c r="N70">
        <v>1007</v>
      </c>
      <c r="O70" t="s">
        <v>219</v>
      </c>
      <c r="P70" t="s">
        <v>219</v>
      </c>
      <c r="Q70">
        <v>1</v>
      </c>
      <c r="W70">
        <v>0</v>
      </c>
      <c r="X70">
        <v>1758287014</v>
      </c>
      <c r="Y70">
        <f t="shared" si="51"/>
        <v>0</v>
      </c>
      <c r="AA70">
        <v>17323</v>
      </c>
      <c r="AB70">
        <v>0</v>
      </c>
      <c r="AC70">
        <v>0</v>
      </c>
      <c r="AD70">
        <v>0</v>
      </c>
      <c r="AE70">
        <v>1700</v>
      </c>
      <c r="AF70">
        <v>0</v>
      </c>
      <c r="AG70">
        <v>0</v>
      </c>
      <c r="AH70">
        <v>0</v>
      </c>
      <c r="AI70">
        <v>10.19</v>
      </c>
      <c r="AJ70">
        <v>1</v>
      </c>
      <c r="AK70">
        <v>1</v>
      </c>
      <c r="AL70">
        <v>1</v>
      </c>
      <c r="AM70">
        <v>4</v>
      </c>
      <c r="AN70">
        <v>0</v>
      </c>
      <c r="AO70">
        <v>1</v>
      </c>
      <c r="AP70">
        <v>1</v>
      </c>
      <c r="AQ70">
        <v>0</v>
      </c>
      <c r="AR70">
        <v>0</v>
      </c>
      <c r="AS70" t="s">
        <v>3</v>
      </c>
      <c r="AT70">
        <v>1E-3</v>
      </c>
      <c r="AU70" t="s">
        <v>86</v>
      </c>
      <c r="AV70">
        <v>0</v>
      </c>
      <c r="AW70">
        <v>2</v>
      </c>
      <c r="AX70">
        <v>60564109</v>
      </c>
      <c r="AY70">
        <v>1</v>
      </c>
      <c r="AZ70">
        <v>0</v>
      </c>
      <c r="BA70">
        <v>70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V70">
        <v>0</v>
      </c>
      <c r="CW70">
        <v>0</v>
      </c>
      <c r="CX70">
        <f>ROUND(Y70*Source!I32,7)</f>
        <v>0</v>
      </c>
      <c r="CY70">
        <f t="shared" si="52"/>
        <v>17323</v>
      </c>
      <c r="CZ70">
        <f t="shared" si="53"/>
        <v>1700</v>
      </c>
      <c r="DA70">
        <f t="shared" si="54"/>
        <v>10.19</v>
      </c>
      <c r="DB70">
        <f t="shared" si="55"/>
        <v>0</v>
      </c>
      <c r="DC70">
        <f t="shared" si="56"/>
        <v>0</v>
      </c>
      <c r="DD70" t="s">
        <v>3</v>
      </c>
      <c r="DE70" t="s">
        <v>3</v>
      </c>
      <c r="DF70">
        <f t="shared" si="57"/>
        <v>0</v>
      </c>
      <c r="DG70">
        <f t="shared" si="58"/>
        <v>0</v>
      </c>
      <c r="DH70">
        <f t="shared" si="59"/>
        <v>0</v>
      </c>
      <c r="DI70">
        <f t="shared" si="45"/>
        <v>0</v>
      </c>
      <c r="DJ70">
        <f t="shared" si="60"/>
        <v>0</v>
      </c>
      <c r="DK70">
        <v>0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ROW(Source!A32)</f>
        <v>32</v>
      </c>
      <c r="B71">
        <v>60563954</v>
      </c>
      <c r="C71">
        <v>60564081</v>
      </c>
      <c r="D71">
        <v>44914424</v>
      </c>
      <c r="E71">
        <v>1</v>
      </c>
      <c r="F71">
        <v>1</v>
      </c>
      <c r="G71">
        <v>1</v>
      </c>
      <c r="H71">
        <v>3</v>
      </c>
      <c r="I71" t="s">
        <v>286</v>
      </c>
      <c r="J71" t="s">
        <v>287</v>
      </c>
      <c r="K71" t="s">
        <v>288</v>
      </c>
      <c r="L71">
        <v>1348</v>
      </c>
      <c r="N71">
        <v>1009</v>
      </c>
      <c r="O71" t="s">
        <v>32</v>
      </c>
      <c r="P71" t="s">
        <v>32</v>
      </c>
      <c r="Q71">
        <v>1000</v>
      </c>
      <c r="W71">
        <v>0</v>
      </c>
      <c r="X71">
        <v>264248573</v>
      </c>
      <c r="Y71">
        <f t="shared" si="51"/>
        <v>0</v>
      </c>
      <c r="AA71">
        <v>159167.79999999999</v>
      </c>
      <c r="AB71">
        <v>0</v>
      </c>
      <c r="AC71">
        <v>0</v>
      </c>
      <c r="AD71">
        <v>0</v>
      </c>
      <c r="AE71">
        <v>15620</v>
      </c>
      <c r="AF71">
        <v>0</v>
      </c>
      <c r="AG71">
        <v>0</v>
      </c>
      <c r="AH71">
        <v>0</v>
      </c>
      <c r="AI71">
        <v>10.19</v>
      </c>
      <c r="AJ71">
        <v>1</v>
      </c>
      <c r="AK71">
        <v>1</v>
      </c>
      <c r="AL71">
        <v>1</v>
      </c>
      <c r="AM71">
        <v>4</v>
      </c>
      <c r="AN71">
        <v>0</v>
      </c>
      <c r="AO71">
        <v>1</v>
      </c>
      <c r="AP71">
        <v>1</v>
      </c>
      <c r="AQ71">
        <v>0</v>
      </c>
      <c r="AR71">
        <v>0</v>
      </c>
      <c r="AS71" t="s">
        <v>3</v>
      </c>
      <c r="AT71">
        <v>3.1E-4</v>
      </c>
      <c r="AU71" t="s">
        <v>86</v>
      </c>
      <c r="AV71">
        <v>0</v>
      </c>
      <c r="AW71">
        <v>2</v>
      </c>
      <c r="AX71">
        <v>60564110</v>
      </c>
      <c r="AY71">
        <v>1</v>
      </c>
      <c r="AZ71">
        <v>0</v>
      </c>
      <c r="BA71">
        <v>71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V71">
        <v>0</v>
      </c>
      <c r="CW71">
        <v>0</v>
      </c>
      <c r="CX71">
        <f>ROUND(Y71*Source!I32,7)</f>
        <v>0</v>
      </c>
      <c r="CY71">
        <f t="shared" si="52"/>
        <v>159167.79999999999</v>
      </c>
      <c r="CZ71">
        <f t="shared" si="53"/>
        <v>15620</v>
      </c>
      <c r="DA71">
        <f t="shared" si="54"/>
        <v>10.19</v>
      </c>
      <c r="DB71">
        <f t="shared" si="55"/>
        <v>0</v>
      </c>
      <c r="DC71">
        <f t="shared" si="56"/>
        <v>0</v>
      </c>
      <c r="DD71" t="s">
        <v>3</v>
      </c>
      <c r="DE71" t="s">
        <v>3</v>
      </c>
      <c r="DF71">
        <f t="shared" si="57"/>
        <v>0</v>
      </c>
      <c r="DG71">
        <f t="shared" si="58"/>
        <v>0</v>
      </c>
      <c r="DH71">
        <f t="shared" si="59"/>
        <v>0</v>
      </c>
      <c r="DI71">
        <f t="shared" si="45"/>
        <v>0</v>
      </c>
      <c r="DJ71">
        <f t="shared" si="60"/>
        <v>0</v>
      </c>
      <c r="DK71">
        <v>0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ROW(Source!A32)</f>
        <v>32</v>
      </c>
      <c r="B72">
        <v>60563954</v>
      </c>
      <c r="C72">
        <v>60564081</v>
      </c>
      <c r="D72">
        <v>44915537</v>
      </c>
      <c r="E72">
        <v>1</v>
      </c>
      <c r="F72">
        <v>1</v>
      </c>
      <c r="G72">
        <v>1</v>
      </c>
      <c r="H72">
        <v>3</v>
      </c>
      <c r="I72" t="s">
        <v>289</v>
      </c>
      <c r="J72" t="s">
        <v>290</v>
      </c>
      <c r="K72" t="s">
        <v>291</v>
      </c>
      <c r="L72">
        <v>1346</v>
      </c>
      <c r="N72">
        <v>1009</v>
      </c>
      <c r="O72" t="s">
        <v>257</v>
      </c>
      <c r="P72" t="s">
        <v>257</v>
      </c>
      <c r="Q72">
        <v>1</v>
      </c>
      <c r="W72">
        <v>0</v>
      </c>
      <c r="X72">
        <v>-1449230318</v>
      </c>
      <c r="Y72">
        <f t="shared" si="51"/>
        <v>0</v>
      </c>
      <c r="AA72">
        <v>95.99</v>
      </c>
      <c r="AB72">
        <v>0</v>
      </c>
      <c r="AC72">
        <v>0</v>
      </c>
      <c r="AD72">
        <v>0</v>
      </c>
      <c r="AE72">
        <v>9.42</v>
      </c>
      <c r="AF72">
        <v>0</v>
      </c>
      <c r="AG72">
        <v>0</v>
      </c>
      <c r="AH72">
        <v>0</v>
      </c>
      <c r="AI72">
        <v>10.19</v>
      </c>
      <c r="AJ72">
        <v>1</v>
      </c>
      <c r="AK72">
        <v>1</v>
      </c>
      <c r="AL72">
        <v>1</v>
      </c>
      <c r="AM72">
        <v>4</v>
      </c>
      <c r="AN72">
        <v>0</v>
      </c>
      <c r="AO72">
        <v>1</v>
      </c>
      <c r="AP72">
        <v>1</v>
      </c>
      <c r="AQ72">
        <v>0</v>
      </c>
      <c r="AR72">
        <v>0</v>
      </c>
      <c r="AS72" t="s">
        <v>3</v>
      </c>
      <c r="AT72">
        <v>0.6</v>
      </c>
      <c r="AU72" t="s">
        <v>86</v>
      </c>
      <c r="AV72">
        <v>0</v>
      </c>
      <c r="AW72">
        <v>2</v>
      </c>
      <c r="AX72">
        <v>60564111</v>
      </c>
      <c r="AY72">
        <v>1</v>
      </c>
      <c r="AZ72">
        <v>0</v>
      </c>
      <c r="BA72">
        <v>72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V72">
        <v>0</v>
      </c>
      <c r="CW72">
        <v>0</v>
      </c>
      <c r="CX72">
        <f>ROUND(Y72*Source!I32,7)</f>
        <v>0</v>
      </c>
      <c r="CY72">
        <f t="shared" si="52"/>
        <v>95.99</v>
      </c>
      <c r="CZ72">
        <f t="shared" si="53"/>
        <v>9.42</v>
      </c>
      <c r="DA72">
        <f t="shared" si="54"/>
        <v>10.19</v>
      </c>
      <c r="DB72">
        <f t="shared" si="55"/>
        <v>0</v>
      </c>
      <c r="DC72">
        <f t="shared" si="56"/>
        <v>0</v>
      </c>
      <c r="DD72" t="s">
        <v>3</v>
      </c>
      <c r="DE72" t="s">
        <v>3</v>
      </c>
      <c r="DF72">
        <f t="shared" si="57"/>
        <v>0</v>
      </c>
      <c r="DG72">
        <f t="shared" si="58"/>
        <v>0</v>
      </c>
      <c r="DH72">
        <f t="shared" si="59"/>
        <v>0</v>
      </c>
      <c r="DI72">
        <f t="shared" si="45"/>
        <v>0</v>
      </c>
      <c r="DJ72">
        <f t="shared" si="60"/>
        <v>0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ROW(Source!A32)</f>
        <v>32</v>
      </c>
      <c r="B73">
        <v>60563954</v>
      </c>
      <c r="C73">
        <v>60564081</v>
      </c>
      <c r="D73">
        <v>44945922</v>
      </c>
      <c r="E73">
        <v>1</v>
      </c>
      <c r="F73">
        <v>1</v>
      </c>
      <c r="G73">
        <v>1</v>
      </c>
      <c r="H73">
        <v>3</v>
      </c>
      <c r="I73" t="s">
        <v>344</v>
      </c>
      <c r="J73" t="s">
        <v>345</v>
      </c>
      <c r="K73" t="s">
        <v>346</v>
      </c>
      <c r="L73">
        <v>1371</v>
      </c>
      <c r="N73">
        <v>1013</v>
      </c>
      <c r="O73" t="s">
        <v>63</v>
      </c>
      <c r="P73" t="s">
        <v>63</v>
      </c>
      <c r="Q73">
        <v>1</v>
      </c>
      <c r="W73">
        <v>0</v>
      </c>
      <c r="X73">
        <v>616720208</v>
      </c>
      <c r="Y73">
        <f t="shared" si="51"/>
        <v>0</v>
      </c>
      <c r="AA73">
        <v>692.92</v>
      </c>
      <c r="AB73">
        <v>0</v>
      </c>
      <c r="AC73">
        <v>0</v>
      </c>
      <c r="AD73">
        <v>0</v>
      </c>
      <c r="AE73">
        <v>68</v>
      </c>
      <c r="AF73">
        <v>0</v>
      </c>
      <c r="AG73">
        <v>0</v>
      </c>
      <c r="AH73">
        <v>0</v>
      </c>
      <c r="AI73">
        <v>10.19</v>
      </c>
      <c r="AJ73">
        <v>1</v>
      </c>
      <c r="AK73">
        <v>1</v>
      </c>
      <c r="AL73">
        <v>1</v>
      </c>
      <c r="AM73">
        <v>4</v>
      </c>
      <c r="AN73">
        <v>0</v>
      </c>
      <c r="AO73">
        <v>1</v>
      </c>
      <c r="AP73">
        <v>1</v>
      </c>
      <c r="AQ73">
        <v>0</v>
      </c>
      <c r="AR73">
        <v>0</v>
      </c>
      <c r="AS73" t="s">
        <v>3</v>
      </c>
      <c r="AT73">
        <v>0.19</v>
      </c>
      <c r="AU73" t="s">
        <v>86</v>
      </c>
      <c r="AV73">
        <v>0</v>
      </c>
      <c r="AW73">
        <v>2</v>
      </c>
      <c r="AX73">
        <v>60564112</v>
      </c>
      <c r="AY73">
        <v>1</v>
      </c>
      <c r="AZ73">
        <v>0</v>
      </c>
      <c r="BA73">
        <v>73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V73">
        <v>0</v>
      </c>
      <c r="CW73">
        <v>0</v>
      </c>
      <c r="CX73">
        <f>ROUND(Y73*Source!I32,7)</f>
        <v>0</v>
      </c>
      <c r="CY73">
        <f t="shared" si="52"/>
        <v>692.92</v>
      </c>
      <c r="CZ73">
        <f t="shared" si="53"/>
        <v>68</v>
      </c>
      <c r="DA73">
        <f t="shared" si="54"/>
        <v>10.19</v>
      </c>
      <c r="DB73">
        <f t="shared" si="55"/>
        <v>0</v>
      </c>
      <c r="DC73">
        <f t="shared" si="56"/>
        <v>0</v>
      </c>
      <c r="DD73" t="s">
        <v>3</v>
      </c>
      <c r="DE73" t="s">
        <v>3</v>
      </c>
      <c r="DF73">
        <f t="shared" si="57"/>
        <v>0</v>
      </c>
      <c r="DG73">
        <f t="shared" si="58"/>
        <v>0</v>
      </c>
      <c r="DH73">
        <f t="shared" si="59"/>
        <v>0</v>
      </c>
      <c r="DI73">
        <f t="shared" si="45"/>
        <v>0</v>
      </c>
      <c r="DJ73">
        <f t="shared" si="60"/>
        <v>0</v>
      </c>
      <c r="DK73">
        <v>0</v>
      </c>
      <c r="DL73" t="s">
        <v>3</v>
      </c>
      <c r="DM73">
        <v>0</v>
      </c>
      <c r="DN73" t="s">
        <v>3</v>
      </c>
      <c r="DO7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7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ROW(Source!A24)</f>
        <v>24</v>
      </c>
      <c r="B1">
        <v>60564156</v>
      </c>
      <c r="C1">
        <v>60564155</v>
      </c>
      <c r="D1">
        <v>44870854</v>
      </c>
      <c r="E1">
        <v>70</v>
      </c>
      <c r="F1">
        <v>1</v>
      </c>
      <c r="G1">
        <v>1</v>
      </c>
      <c r="H1">
        <v>1</v>
      </c>
      <c r="I1" t="s">
        <v>207</v>
      </c>
      <c r="J1" t="s">
        <v>3</v>
      </c>
      <c r="K1" t="s">
        <v>208</v>
      </c>
      <c r="L1">
        <v>1191</v>
      </c>
      <c r="N1">
        <v>1013</v>
      </c>
      <c r="O1" t="s">
        <v>209</v>
      </c>
      <c r="P1" t="s">
        <v>209</v>
      </c>
      <c r="Q1">
        <v>1</v>
      </c>
      <c r="X1">
        <v>65.2</v>
      </c>
      <c r="Y1">
        <v>0</v>
      </c>
      <c r="Z1">
        <v>0</v>
      </c>
      <c r="AA1">
        <v>0</v>
      </c>
      <c r="AB1">
        <v>8.64</v>
      </c>
      <c r="AC1">
        <v>0</v>
      </c>
      <c r="AD1">
        <v>1</v>
      </c>
      <c r="AE1">
        <v>1</v>
      </c>
      <c r="AF1" t="s">
        <v>3</v>
      </c>
      <c r="AG1">
        <v>65.2</v>
      </c>
      <c r="AH1">
        <v>2</v>
      </c>
      <c r="AI1">
        <v>60564156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ROW(Source!A24)</f>
        <v>24</v>
      </c>
      <c r="B2">
        <v>60564157</v>
      </c>
      <c r="C2">
        <v>60564155</v>
      </c>
      <c r="D2">
        <v>44871042</v>
      </c>
      <c r="E2">
        <v>70</v>
      </c>
      <c r="F2">
        <v>1</v>
      </c>
      <c r="G2">
        <v>1</v>
      </c>
      <c r="H2">
        <v>1</v>
      </c>
      <c r="I2" t="s">
        <v>210</v>
      </c>
      <c r="J2" t="s">
        <v>3</v>
      </c>
      <c r="K2" t="s">
        <v>211</v>
      </c>
      <c r="L2">
        <v>1191</v>
      </c>
      <c r="N2">
        <v>1013</v>
      </c>
      <c r="O2" t="s">
        <v>209</v>
      </c>
      <c r="P2" t="s">
        <v>209</v>
      </c>
      <c r="Q2">
        <v>1</v>
      </c>
      <c r="X2">
        <v>0.08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3</v>
      </c>
      <c r="AG2">
        <v>0.08</v>
      </c>
      <c r="AH2">
        <v>2</v>
      </c>
      <c r="AI2">
        <v>60564157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ROW(Source!A24)</f>
        <v>24</v>
      </c>
      <c r="B3">
        <v>60564158</v>
      </c>
      <c r="C3">
        <v>60564155</v>
      </c>
      <c r="D3">
        <v>45033637</v>
      </c>
      <c r="E3">
        <v>1</v>
      </c>
      <c r="F3">
        <v>1</v>
      </c>
      <c r="G3">
        <v>1</v>
      </c>
      <c r="H3">
        <v>2</v>
      </c>
      <c r="I3" t="s">
        <v>212</v>
      </c>
      <c r="J3" t="s">
        <v>213</v>
      </c>
      <c r="K3" t="s">
        <v>214</v>
      </c>
      <c r="L3">
        <v>1367</v>
      </c>
      <c r="N3">
        <v>1011</v>
      </c>
      <c r="O3" t="s">
        <v>215</v>
      </c>
      <c r="P3" t="s">
        <v>215</v>
      </c>
      <c r="Q3">
        <v>1</v>
      </c>
      <c r="X3">
        <v>0.08</v>
      </c>
      <c r="Y3">
        <v>0</v>
      </c>
      <c r="Z3">
        <v>65.709999999999994</v>
      </c>
      <c r="AA3">
        <v>11.6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0.08</v>
      </c>
      <c r="AH3">
        <v>2</v>
      </c>
      <c r="AI3">
        <v>60564158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ROW(Source!A24)</f>
        <v>24</v>
      </c>
      <c r="B4">
        <v>60564159</v>
      </c>
      <c r="C4">
        <v>60564155</v>
      </c>
      <c r="D4">
        <v>44886172</v>
      </c>
      <c r="E4">
        <v>1</v>
      </c>
      <c r="F4">
        <v>1</v>
      </c>
      <c r="G4">
        <v>1</v>
      </c>
      <c r="H4">
        <v>3</v>
      </c>
      <c r="I4" t="s">
        <v>216</v>
      </c>
      <c r="J4" t="s">
        <v>217</v>
      </c>
      <c r="K4" t="s">
        <v>218</v>
      </c>
      <c r="L4">
        <v>1339</v>
      </c>
      <c r="N4">
        <v>1007</v>
      </c>
      <c r="O4" t="s">
        <v>219</v>
      </c>
      <c r="P4" t="s">
        <v>219</v>
      </c>
      <c r="Q4">
        <v>1</v>
      </c>
      <c r="X4">
        <v>8.9999999999999993E-3</v>
      </c>
      <c r="Y4">
        <v>1100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 t="s">
        <v>3</v>
      </c>
      <c r="AG4">
        <v>8.9999999999999993E-3</v>
      </c>
      <c r="AH4">
        <v>2</v>
      </c>
      <c r="AI4">
        <v>60564159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ROW(Source!A24)</f>
        <v>24</v>
      </c>
      <c r="B5">
        <v>60564160</v>
      </c>
      <c r="C5">
        <v>60564155</v>
      </c>
      <c r="D5">
        <v>44886174</v>
      </c>
      <c r="E5">
        <v>1</v>
      </c>
      <c r="F5">
        <v>1</v>
      </c>
      <c r="G5">
        <v>1</v>
      </c>
      <c r="H5">
        <v>3</v>
      </c>
      <c r="I5" t="s">
        <v>220</v>
      </c>
      <c r="J5" t="s">
        <v>221</v>
      </c>
      <c r="K5" t="s">
        <v>222</v>
      </c>
      <c r="L5">
        <v>1348</v>
      </c>
      <c r="N5">
        <v>1009</v>
      </c>
      <c r="O5" t="s">
        <v>32</v>
      </c>
      <c r="P5" t="s">
        <v>32</v>
      </c>
      <c r="Q5">
        <v>1000</v>
      </c>
      <c r="X5">
        <v>4.3999999999999997E-2</v>
      </c>
      <c r="Y5">
        <v>6102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4.3999999999999997E-2</v>
      </c>
      <c r="AH5">
        <v>2</v>
      </c>
      <c r="AI5">
        <v>60564160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ROW(Source!A24)</f>
        <v>24</v>
      </c>
      <c r="B6">
        <v>60564161</v>
      </c>
      <c r="C6">
        <v>60564155</v>
      </c>
      <c r="D6">
        <v>44908194</v>
      </c>
      <c r="E6">
        <v>1</v>
      </c>
      <c r="F6">
        <v>1</v>
      </c>
      <c r="G6">
        <v>1</v>
      </c>
      <c r="H6">
        <v>3</v>
      </c>
      <c r="I6" t="s">
        <v>223</v>
      </c>
      <c r="J6" t="s">
        <v>224</v>
      </c>
      <c r="K6" t="s">
        <v>225</v>
      </c>
      <c r="L6">
        <v>1327</v>
      </c>
      <c r="N6">
        <v>1005</v>
      </c>
      <c r="O6" t="s">
        <v>226</v>
      </c>
      <c r="P6" t="s">
        <v>226</v>
      </c>
      <c r="Q6">
        <v>1</v>
      </c>
      <c r="X6">
        <v>1.9</v>
      </c>
      <c r="Y6">
        <v>35.22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 t="s">
        <v>3</v>
      </c>
      <c r="AG6">
        <v>1.9</v>
      </c>
      <c r="AH6">
        <v>2</v>
      </c>
      <c r="AI6">
        <v>60564161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ROW(Source!A25)</f>
        <v>25</v>
      </c>
      <c r="B7">
        <v>60564165</v>
      </c>
      <c r="C7">
        <v>60564162</v>
      </c>
      <c r="D7">
        <v>44870854</v>
      </c>
      <c r="E7">
        <v>70</v>
      </c>
      <c r="F7">
        <v>1</v>
      </c>
      <c r="G7">
        <v>1</v>
      </c>
      <c r="H7">
        <v>1</v>
      </c>
      <c r="I7" t="s">
        <v>207</v>
      </c>
      <c r="J7" t="s">
        <v>3</v>
      </c>
      <c r="K7" t="s">
        <v>208</v>
      </c>
      <c r="L7">
        <v>1191</v>
      </c>
      <c r="N7">
        <v>1013</v>
      </c>
      <c r="O7" t="s">
        <v>209</v>
      </c>
      <c r="P7" t="s">
        <v>209</v>
      </c>
      <c r="Q7">
        <v>1</v>
      </c>
      <c r="X7">
        <v>6.6</v>
      </c>
      <c r="Y7">
        <v>0</v>
      </c>
      <c r="Z7">
        <v>0</v>
      </c>
      <c r="AA7">
        <v>0</v>
      </c>
      <c r="AB7">
        <v>8.64</v>
      </c>
      <c r="AC7">
        <v>0</v>
      </c>
      <c r="AD7">
        <v>1</v>
      </c>
      <c r="AE7">
        <v>1</v>
      </c>
      <c r="AF7" t="s">
        <v>28</v>
      </c>
      <c r="AG7">
        <v>13.2</v>
      </c>
      <c r="AH7">
        <v>2</v>
      </c>
      <c r="AI7">
        <v>60564165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ROW(Source!A26)</f>
        <v>26</v>
      </c>
      <c r="B8">
        <v>60564115</v>
      </c>
      <c r="C8">
        <v>60564082</v>
      </c>
      <c r="D8">
        <v>44870912</v>
      </c>
      <c r="E8">
        <v>70</v>
      </c>
      <c r="F8">
        <v>1</v>
      </c>
      <c r="G8">
        <v>1</v>
      </c>
      <c r="H8">
        <v>1</v>
      </c>
      <c r="I8" t="s">
        <v>227</v>
      </c>
      <c r="J8" t="s">
        <v>3</v>
      </c>
      <c r="K8" t="s">
        <v>228</v>
      </c>
      <c r="L8">
        <v>1191</v>
      </c>
      <c r="N8">
        <v>1013</v>
      </c>
      <c r="O8" t="s">
        <v>209</v>
      </c>
      <c r="P8" t="s">
        <v>209</v>
      </c>
      <c r="Q8">
        <v>1</v>
      </c>
      <c r="X8">
        <v>24.85</v>
      </c>
      <c r="Y8">
        <v>0</v>
      </c>
      <c r="Z8">
        <v>0</v>
      </c>
      <c r="AA8">
        <v>0</v>
      </c>
      <c r="AB8">
        <v>10.35</v>
      </c>
      <c r="AC8">
        <v>0</v>
      </c>
      <c r="AD8">
        <v>1</v>
      </c>
      <c r="AE8">
        <v>1</v>
      </c>
      <c r="AF8" t="s">
        <v>36</v>
      </c>
      <c r="AG8">
        <v>17.395</v>
      </c>
      <c r="AH8">
        <v>2</v>
      </c>
      <c r="AI8">
        <v>60564115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ROW(Source!A26)</f>
        <v>26</v>
      </c>
      <c r="B9">
        <v>60564116</v>
      </c>
      <c r="C9">
        <v>60564082</v>
      </c>
      <c r="D9">
        <v>44871042</v>
      </c>
      <c r="E9">
        <v>70</v>
      </c>
      <c r="F9">
        <v>1</v>
      </c>
      <c r="G9">
        <v>1</v>
      </c>
      <c r="H9">
        <v>1</v>
      </c>
      <c r="I9" t="s">
        <v>210</v>
      </c>
      <c r="J9" t="s">
        <v>3</v>
      </c>
      <c r="K9" t="s">
        <v>211</v>
      </c>
      <c r="L9">
        <v>1191</v>
      </c>
      <c r="N9">
        <v>1013</v>
      </c>
      <c r="O9" t="s">
        <v>209</v>
      </c>
      <c r="P9" t="s">
        <v>209</v>
      </c>
      <c r="Q9">
        <v>1</v>
      </c>
      <c r="X9">
        <v>9.51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2</v>
      </c>
      <c r="AF9" t="s">
        <v>36</v>
      </c>
      <c r="AG9">
        <v>6.6569999999999991</v>
      </c>
      <c r="AH9">
        <v>2</v>
      </c>
      <c r="AI9">
        <v>60564116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ROW(Source!A26)</f>
        <v>26</v>
      </c>
      <c r="B10">
        <v>60564117</v>
      </c>
      <c r="C10">
        <v>60564082</v>
      </c>
      <c r="D10">
        <v>45032649</v>
      </c>
      <c r="E10">
        <v>1</v>
      </c>
      <c r="F10">
        <v>1</v>
      </c>
      <c r="G10">
        <v>1</v>
      </c>
      <c r="H10">
        <v>2</v>
      </c>
      <c r="I10" t="s">
        <v>229</v>
      </c>
      <c r="J10" t="s">
        <v>230</v>
      </c>
      <c r="K10" t="s">
        <v>231</v>
      </c>
      <c r="L10">
        <v>1367</v>
      </c>
      <c r="N10">
        <v>1011</v>
      </c>
      <c r="O10" t="s">
        <v>215</v>
      </c>
      <c r="P10" t="s">
        <v>215</v>
      </c>
      <c r="Q10">
        <v>1</v>
      </c>
      <c r="X10">
        <v>0.79</v>
      </c>
      <c r="Y10">
        <v>0</v>
      </c>
      <c r="Z10">
        <v>86.4</v>
      </c>
      <c r="AA10">
        <v>13.5</v>
      </c>
      <c r="AB10">
        <v>0</v>
      </c>
      <c r="AC10">
        <v>0</v>
      </c>
      <c r="AD10">
        <v>1</v>
      </c>
      <c r="AE10">
        <v>0</v>
      </c>
      <c r="AF10" t="s">
        <v>36</v>
      </c>
      <c r="AG10">
        <v>0.55299999999999994</v>
      </c>
      <c r="AH10">
        <v>2</v>
      </c>
      <c r="AI10">
        <v>60564117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ROW(Source!A26)</f>
        <v>26</v>
      </c>
      <c r="B11">
        <v>60564118</v>
      </c>
      <c r="C11">
        <v>60564082</v>
      </c>
      <c r="D11">
        <v>45032707</v>
      </c>
      <c r="E11">
        <v>1</v>
      </c>
      <c r="F11">
        <v>1</v>
      </c>
      <c r="G11">
        <v>1</v>
      </c>
      <c r="H11">
        <v>2</v>
      </c>
      <c r="I11" t="s">
        <v>233</v>
      </c>
      <c r="J11" t="s">
        <v>234</v>
      </c>
      <c r="K11" t="s">
        <v>235</v>
      </c>
      <c r="L11">
        <v>1367</v>
      </c>
      <c r="N11">
        <v>1011</v>
      </c>
      <c r="O11" t="s">
        <v>215</v>
      </c>
      <c r="P11" t="s">
        <v>215</v>
      </c>
      <c r="Q11">
        <v>1</v>
      </c>
      <c r="X11">
        <v>0.66</v>
      </c>
      <c r="Y11">
        <v>0</v>
      </c>
      <c r="Z11">
        <v>115.4</v>
      </c>
      <c r="AA11">
        <v>13.5</v>
      </c>
      <c r="AB11">
        <v>0</v>
      </c>
      <c r="AC11">
        <v>0</v>
      </c>
      <c r="AD11">
        <v>1</v>
      </c>
      <c r="AE11">
        <v>0</v>
      </c>
      <c r="AF11" t="s">
        <v>36</v>
      </c>
      <c r="AG11">
        <v>0.46199999999999997</v>
      </c>
      <c r="AH11">
        <v>2</v>
      </c>
      <c r="AI11">
        <v>60564118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ROW(Source!A26)</f>
        <v>26</v>
      </c>
      <c r="B12">
        <v>60564119</v>
      </c>
      <c r="C12">
        <v>60564082</v>
      </c>
      <c r="D12">
        <v>45032713</v>
      </c>
      <c r="E12">
        <v>1</v>
      </c>
      <c r="F12">
        <v>1</v>
      </c>
      <c r="G12">
        <v>1</v>
      </c>
      <c r="H12">
        <v>2</v>
      </c>
      <c r="I12" t="s">
        <v>236</v>
      </c>
      <c r="J12" t="s">
        <v>237</v>
      </c>
      <c r="K12" t="s">
        <v>238</v>
      </c>
      <c r="L12">
        <v>1367</v>
      </c>
      <c r="N12">
        <v>1011</v>
      </c>
      <c r="O12" t="s">
        <v>215</v>
      </c>
      <c r="P12" t="s">
        <v>215</v>
      </c>
      <c r="Q12">
        <v>1</v>
      </c>
      <c r="X12">
        <v>0.26</v>
      </c>
      <c r="Y12">
        <v>0</v>
      </c>
      <c r="Z12">
        <v>120.04</v>
      </c>
      <c r="AA12">
        <v>13.5</v>
      </c>
      <c r="AB12">
        <v>0</v>
      </c>
      <c r="AC12">
        <v>0</v>
      </c>
      <c r="AD12">
        <v>1</v>
      </c>
      <c r="AE12">
        <v>0</v>
      </c>
      <c r="AF12" t="s">
        <v>36</v>
      </c>
      <c r="AG12">
        <v>0.182</v>
      </c>
      <c r="AH12">
        <v>2</v>
      </c>
      <c r="AI12">
        <v>60564119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ROW(Source!A26)</f>
        <v>26</v>
      </c>
      <c r="B13">
        <v>60564120</v>
      </c>
      <c r="C13">
        <v>60564082</v>
      </c>
      <c r="D13">
        <v>45032715</v>
      </c>
      <c r="E13">
        <v>1</v>
      </c>
      <c r="F13">
        <v>1</v>
      </c>
      <c r="G13">
        <v>1</v>
      </c>
      <c r="H13">
        <v>2</v>
      </c>
      <c r="I13" t="s">
        <v>239</v>
      </c>
      <c r="J13" t="s">
        <v>240</v>
      </c>
      <c r="K13" t="s">
        <v>241</v>
      </c>
      <c r="L13">
        <v>1367</v>
      </c>
      <c r="N13">
        <v>1011</v>
      </c>
      <c r="O13" t="s">
        <v>215</v>
      </c>
      <c r="P13" t="s">
        <v>215</v>
      </c>
      <c r="Q13">
        <v>1</v>
      </c>
      <c r="X13">
        <v>1.57</v>
      </c>
      <c r="Y13">
        <v>0</v>
      </c>
      <c r="Z13">
        <v>290.01</v>
      </c>
      <c r="AA13">
        <v>25.1</v>
      </c>
      <c r="AB13">
        <v>0</v>
      </c>
      <c r="AC13">
        <v>0</v>
      </c>
      <c r="AD13">
        <v>1</v>
      </c>
      <c r="AE13">
        <v>0</v>
      </c>
      <c r="AF13" t="s">
        <v>36</v>
      </c>
      <c r="AG13">
        <v>1.099</v>
      </c>
      <c r="AH13">
        <v>2</v>
      </c>
      <c r="AI13">
        <v>60564120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ROW(Source!A26)</f>
        <v>26</v>
      </c>
      <c r="B14">
        <v>60564121</v>
      </c>
      <c r="C14">
        <v>60564082</v>
      </c>
      <c r="D14">
        <v>45032735</v>
      </c>
      <c r="E14">
        <v>1</v>
      </c>
      <c r="F14">
        <v>1</v>
      </c>
      <c r="G14">
        <v>1</v>
      </c>
      <c r="H14">
        <v>2</v>
      </c>
      <c r="I14" t="s">
        <v>242</v>
      </c>
      <c r="J14" t="s">
        <v>243</v>
      </c>
      <c r="K14" t="s">
        <v>244</v>
      </c>
      <c r="L14">
        <v>1367</v>
      </c>
      <c r="N14">
        <v>1011</v>
      </c>
      <c r="O14" t="s">
        <v>215</v>
      </c>
      <c r="P14" t="s">
        <v>215</v>
      </c>
      <c r="Q14">
        <v>1</v>
      </c>
      <c r="X14">
        <v>4.16</v>
      </c>
      <c r="Y14">
        <v>0</v>
      </c>
      <c r="Z14">
        <v>102.51</v>
      </c>
      <c r="AA14">
        <v>14.4</v>
      </c>
      <c r="AB14">
        <v>0</v>
      </c>
      <c r="AC14">
        <v>0</v>
      </c>
      <c r="AD14">
        <v>1</v>
      </c>
      <c r="AE14">
        <v>0</v>
      </c>
      <c r="AF14" t="s">
        <v>36</v>
      </c>
      <c r="AG14">
        <v>2.9119999999999999</v>
      </c>
      <c r="AH14">
        <v>2</v>
      </c>
      <c r="AI14">
        <v>60564121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ROW(Source!A26)</f>
        <v>26</v>
      </c>
      <c r="B15">
        <v>60564122</v>
      </c>
      <c r="C15">
        <v>60564082</v>
      </c>
      <c r="D15">
        <v>45033637</v>
      </c>
      <c r="E15">
        <v>1</v>
      </c>
      <c r="F15">
        <v>1</v>
      </c>
      <c r="G15">
        <v>1</v>
      </c>
      <c r="H15">
        <v>2</v>
      </c>
      <c r="I15" t="s">
        <v>212</v>
      </c>
      <c r="J15" t="s">
        <v>213</v>
      </c>
      <c r="K15" t="s">
        <v>214</v>
      </c>
      <c r="L15">
        <v>1367</v>
      </c>
      <c r="N15">
        <v>1011</v>
      </c>
      <c r="O15" t="s">
        <v>215</v>
      </c>
      <c r="P15" t="s">
        <v>215</v>
      </c>
      <c r="Q15">
        <v>1</v>
      </c>
      <c r="X15">
        <v>0.5</v>
      </c>
      <c r="Y15">
        <v>0</v>
      </c>
      <c r="Z15">
        <v>65.709999999999994</v>
      </c>
      <c r="AA15">
        <v>11.6</v>
      </c>
      <c r="AB15">
        <v>0</v>
      </c>
      <c r="AC15">
        <v>0</v>
      </c>
      <c r="AD15">
        <v>1</v>
      </c>
      <c r="AE15">
        <v>0</v>
      </c>
      <c r="AF15" t="s">
        <v>36</v>
      </c>
      <c r="AG15">
        <v>0.35</v>
      </c>
      <c r="AH15">
        <v>2</v>
      </c>
      <c r="AI15">
        <v>60564122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ROW(Source!A26)</f>
        <v>26</v>
      </c>
      <c r="B16">
        <v>60564123</v>
      </c>
      <c r="C16">
        <v>60564082</v>
      </c>
      <c r="D16">
        <v>45033792</v>
      </c>
      <c r="E16">
        <v>1</v>
      </c>
      <c r="F16">
        <v>1</v>
      </c>
      <c r="G16">
        <v>1</v>
      </c>
      <c r="H16">
        <v>2</v>
      </c>
      <c r="I16" t="s">
        <v>245</v>
      </c>
      <c r="J16" t="s">
        <v>246</v>
      </c>
      <c r="K16" t="s">
        <v>247</v>
      </c>
      <c r="L16">
        <v>1367</v>
      </c>
      <c r="N16">
        <v>1011</v>
      </c>
      <c r="O16" t="s">
        <v>215</v>
      </c>
      <c r="P16" t="s">
        <v>215</v>
      </c>
      <c r="Q16">
        <v>1</v>
      </c>
      <c r="X16">
        <v>2.38</v>
      </c>
      <c r="Y16">
        <v>0</v>
      </c>
      <c r="Z16">
        <v>1.2</v>
      </c>
      <c r="AA16">
        <v>0</v>
      </c>
      <c r="AB16">
        <v>0</v>
      </c>
      <c r="AC16">
        <v>0</v>
      </c>
      <c r="AD16">
        <v>1</v>
      </c>
      <c r="AE16">
        <v>0</v>
      </c>
      <c r="AF16" t="s">
        <v>36</v>
      </c>
      <c r="AG16">
        <v>1.6659999999999999</v>
      </c>
      <c r="AH16">
        <v>2</v>
      </c>
      <c r="AI16">
        <v>60564123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ROW(Source!A26)</f>
        <v>26</v>
      </c>
      <c r="B17">
        <v>60564124</v>
      </c>
      <c r="C17">
        <v>60564082</v>
      </c>
      <c r="D17">
        <v>45033835</v>
      </c>
      <c r="E17">
        <v>1</v>
      </c>
      <c r="F17">
        <v>1</v>
      </c>
      <c r="G17">
        <v>1</v>
      </c>
      <c r="H17">
        <v>2</v>
      </c>
      <c r="I17" t="s">
        <v>248</v>
      </c>
      <c r="J17" t="s">
        <v>249</v>
      </c>
      <c r="K17" t="s">
        <v>250</v>
      </c>
      <c r="L17">
        <v>1367</v>
      </c>
      <c r="N17">
        <v>1011</v>
      </c>
      <c r="O17" t="s">
        <v>215</v>
      </c>
      <c r="P17" t="s">
        <v>215</v>
      </c>
      <c r="Q17">
        <v>1</v>
      </c>
      <c r="X17">
        <v>3.27</v>
      </c>
      <c r="Y17">
        <v>0</v>
      </c>
      <c r="Z17">
        <v>12.31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36</v>
      </c>
      <c r="AG17">
        <v>2.2889999999999997</v>
      </c>
      <c r="AH17">
        <v>2</v>
      </c>
      <c r="AI17">
        <v>60564124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ROW(Source!A26)</f>
        <v>26</v>
      </c>
      <c r="B18">
        <v>60564125</v>
      </c>
      <c r="C18">
        <v>60564082</v>
      </c>
      <c r="D18">
        <v>44881732</v>
      </c>
      <c r="E18">
        <v>1</v>
      </c>
      <c r="F18">
        <v>1</v>
      </c>
      <c r="G18">
        <v>1</v>
      </c>
      <c r="H18">
        <v>3</v>
      </c>
      <c r="I18" t="s">
        <v>251</v>
      </c>
      <c r="J18" t="s">
        <v>252</v>
      </c>
      <c r="K18" t="s">
        <v>253</v>
      </c>
      <c r="L18">
        <v>1339</v>
      </c>
      <c r="N18">
        <v>1007</v>
      </c>
      <c r="O18" t="s">
        <v>219</v>
      </c>
      <c r="P18" t="s">
        <v>219</v>
      </c>
      <c r="Q18">
        <v>1</v>
      </c>
      <c r="X18">
        <v>1.95</v>
      </c>
      <c r="Y18">
        <v>6.22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35</v>
      </c>
      <c r="AG18">
        <v>0</v>
      </c>
      <c r="AH18">
        <v>2</v>
      </c>
      <c r="AI18">
        <v>60564125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ROW(Source!A26)</f>
        <v>26</v>
      </c>
      <c r="B19">
        <v>60564126</v>
      </c>
      <c r="C19">
        <v>60564082</v>
      </c>
      <c r="D19">
        <v>44881738</v>
      </c>
      <c r="E19">
        <v>1</v>
      </c>
      <c r="F19">
        <v>1</v>
      </c>
      <c r="G19">
        <v>1</v>
      </c>
      <c r="H19">
        <v>3</v>
      </c>
      <c r="I19" t="s">
        <v>254</v>
      </c>
      <c r="J19" t="s">
        <v>255</v>
      </c>
      <c r="K19" t="s">
        <v>256</v>
      </c>
      <c r="L19">
        <v>1346</v>
      </c>
      <c r="N19">
        <v>1009</v>
      </c>
      <c r="O19" t="s">
        <v>257</v>
      </c>
      <c r="P19" t="s">
        <v>257</v>
      </c>
      <c r="Q19">
        <v>1</v>
      </c>
      <c r="X19">
        <v>0.59</v>
      </c>
      <c r="Y19">
        <v>6.09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 t="s">
        <v>35</v>
      </c>
      <c r="AG19">
        <v>0</v>
      </c>
      <c r="AH19">
        <v>2</v>
      </c>
      <c r="AI19">
        <v>60564126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ROW(Source!A26)</f>
        <v>26</v>
      </c>
      <c r="B20">
        <v>60564127</v>
      </c>
      <c r="C20">
        <v>60564082</v>
      </c>
      <c r="D20">
        <v>44884425</v>
      </c>
      <c r="E20">
        <v>1</v>
      </c>
      <c r="F20">
        <v>1</v>
      </c>
      <c r="G20">
        <v>1</v>
      </c>
      <c r="H20">
        <v>3</v>
      </c>
      <c r="I20" t="s">
        <v>258</v>
      </c>
      <c r="J20" t="s">
        <v>259</v>
      </c>
      <c r="K20" t="s">
        <v>260</v>
      </c>
      <c r="L20">
        <v>1346</v>
      </c>
      <c r="N20">
        <v>1009</v>
      </c>
      <c r="O20" t="s">
        <v>257</v>
      </c>
      <c r="P20" t="s">
        <v>257</v>
      </c>
      <c r="Q20">
        <v>1</v>
      </c>
      <c r="X20">
        <v>2.2999999999999998</v>
      </c>
      <c r="Y20">
        <v>10.75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 t="s">
        <v>35</v>
      </c>
      <c r="AG20">
        <v>0</v>
      </c>
      <c r="AH20">
        <v>2</v>
      </c>
      <c r="AI20">
        <v>60564127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ROW(Source!A26)</f>
        <v>26</v>
      </c>
      <c r="B21">
        <v>60564128</v>
      </c>
      <c r="C21">
        <v>60564082</v>
      </c>
      <c r="D21">
        <v>44885621</v>
      </c>
      <c r="E21">
        <v>1</v>
      </c>
      <c r="F21">
        <v>1</v>
      </c>
      <c r="G21">
        <v>1</v>
      </c>
      <c r="H21">
        <v>3</v>
      </c>
      <c r="I21" t="s">
        <v>261</v>
      </c>
      <c r="J21" t="s">
        <v>262</v>
      </c>
      <c r="K21" t="s">
        <v>263</v>
      </c>
      <c r="L21">
        <v>1346</v>
      </c>
      <c r="N21">
        <v>1009</v>
      </c>
      <c r="O21" t="s">
        <v>257</v>
      </c>
      <c r="P21" t="s">
        <v>257</v>
      </c>
      <c r="Q21">
        <v>1</v>
      </c>
      <c r="X21">
        <v>1.6</v>
      </c>
      <c r="Y21">
        <v>9.0399999999999991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 t="s">
        <v>35</v>
      </c>
      <c r="AG21">
        <v>0</v>
      </c>
      <c r="AH21">
        <v>2</v>
      </c>
      <c r="AI21">
        <v>60564128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ROW(Source!A26)</f>
        <v>26</v>
      </c>
      <c r="B22">
        <v>60564129</v>
      </c>
      <c r="C22">
        <v>60564082</v>
      </c>
      <c r="D22">
        <v>44885720</v>
      </c>
      <c r="E22">
        <v>1</v>
      </c>
      <c r="F22">
        <v>1</v>
      </c>
      <c r="G22">
        <v>1</v>
      </c>
      <c r="H22">
        <v>3</v>
      </c>
      <c r="I22" t="s">
        <v>264</v>
      </c>
      <c r="J22" t="s">
        <v>265</v>
      </c>
      <c r="K22" t="s">
        <v>266</v>
      </c>
      <c r="L22">
        <v>1348</v>
      </c>
      <c r="N22">
        <v>1009</v>
      </c>
      <c r="O22" t="s">
        <v>32</v>
      </c>
      <c r="P22" t="s">
        <v>32</v>
      </c>
      <c r="Q22">
        <v>1000</v>
      </c>
      <c r="X22">
        <v>1.0000000000000001E-5</v>
      </c>
      <c r="Y22">
        <v>11978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 t="s">
        <v>35</v>
      </c>
      <c r="AG22">
        <v>0</v>
      </c>
      <c r="AH22">
        <v>2</v>
      </c>
      <c r="AI22">
        <v>60564129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ROW(Source!A26)</f>
        <v>26</v>
      </c>
      <c r="B23">
        <v>60564130</v>
      </c>
      <c r="C23">
        <v>60564082</v>
      </c>
      <c r="D23">
        <v>44886816</v>
      </c>
      <c r="E23">
        <v>1</v>
      </c>
      <c r="F23">
        <v>1</v>
      </c>
      <c r="G23">
        <v>1</v>
      </c>
      <c r="H23">
        <v>3</v>
      </c>
      <c r="I23" t="s">
        <v>267</v>
      </c>
      <c r="J23" t="s">
        <v>268</v>
      </c>
      <c r="K23" t="s">
        <v>269</v>
      </c>
      <c r="L23">
        <v>1348</v>
      </c>
      <c r="N23">
        <v>1009</v>
      </c>
      <c r="O23" t="s">
        <v>32</v>
      </c>
      <c r="P23" t="s">
        <v>32</v>
      </c>
      <c r="Q23">
        <v>1000</v>
      </c>
      <c r="X23">
        <v>1E-4</v>
      </c>
      <c r="Y23">
        <v>37900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35</v>
      </c>
      <c r="AG23">
        <v>0</v>
      </c>
      <c r="AH23">
        <v>2</v>
      </c>
      <c r="AI23">
        <v>60564130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ROW(Source!A26)</f>
        <v>26</v>
      </c>
      <c r="B24">
        <v>60564131</v>
      </c>
      <c r="C24">
        <v>60564082</v>
      </c>
      <c r="D24">
        <v>44900368</v>
      </c>
      <c r="E24">
        <v>1</v>
      </c>
      <c r="F24">
        <v>1</v>
      </c>
      <c r="G24">
        <v>1</v>
      </c>
      <c r="H24">
        <v>3</v>
      </c>
      <c r="I24" t="s">
        <v>270</v>
      </c>
      <c r="J24" t="s">
        <v>271</v>
      </c>
      <c r="K24" t="s">
        <v>272</v>
      </c>
      <c r="L24">
        <v>1348</v>
      </c>
      <c r="N24">
        <v>1009</v>
      </c>
      <c r="O24" t="s">
        <v>32</v>
      </c>
      <c r="P24" t="s">
        <v>32</v>
      </c>
      <c r="Q24">
        <v>1000</v>
      </c>
      <c r="X24">
        <v>3.7000000000000002E-3</v>
      </c>
      <c r="Y24">
        <v>7712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35</v>
      </c>
      <c r="AG24">
        <v>0</v>
      </c>
      <c r="AH24">
        <v>2</v>
      </c>
      <c r="AI24">
        <v>60564131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ROW(Source!A26)</f>
        <v>26</v>
      </c>
      <c r="B25">
        <v>60564132</v>
      </c>
      <c r="C25">
        <v>60564082</v>
      </c>
      <c r="D25">
        <v>44872833</v>
      </c>
      <c r="E25">
        <v>70</v>
      </c>
      <c r="F25">
        <v>1</v>
      </c>
      <c r="G25">
        <v>1</v>
      </c>
      <c r="H25">
        <v>3</v>
      </c>
      <c r="I25" t="s">
        <v>43</v>
      </c>
      <c r="J25" t="s">
        <v>3</v>
      </c>
      <c r="K25" t="s">
        <v>44</v>
      </c>
      <c r="L25">
        <v>1348</v>
      </c>
      <c r="N25">
        <v>1009</v>
      </c>
      <c r="O25" t="s">
        <v>32</v>
      </c>
      <c r="P25" t="s">
        <v>32</v>
      </c>
      <c r="Q25">
        <v>1000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 t="s">
        <v>35</v>
      </c>
      <c r="AG25">
        <v>0</v>
      </c>
      <c r="AH25">
        <v>2</v>
      </c>
      <c r="AI25">
        <v>60564132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ROW(Source!A26)</f>
        <v>26</v>
      </c>
      <c r="B26">
        <v>60564133</v>
      </c>
      <c r="C26">
        <v>60564082</v>
      </c>
      <c r="D26">
        <v>44902465</v>
      </c>
      <c r="E26">
        <v>1</v>
      </c>
      <c r="F26">
        <v>1</v>
      </c>
      <c r="G26">
        <v>1</v>
      </c>
      <c r="H26">
        <v>3</v>
      </c>
      <c r="I26" t="s">
        <v>273</v>
      </c>
      <c r="J26" t="s">
        <v>274</v>
      </c>
      <c r="K26" t="s">
        <v>275</v>
      </c>
      <c r="L26">
        <v>1302</v>
      </c>
      <c r="N26">
        <v>1003</v>
      </c>
      <c r="O26" t="s">
        <v>276</v>
      </c>
      <c r="P26" t="s">
        <v>276</v>
      </c>
      <c r="Q26">
        <v>10</v>
      </c>
      <c r="X26">
        <v>1.8700000000000001E-2</v>
      </c>
      <c r="Y26">
        <v>50.24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35</v>
      </c>
      <c r="AG26">
        <v>0</v>
      </c>
      <c r="AH26">
        <v>2</v>
      </c>
      <c r="AI26">
        <v>60564133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ROW(Source!A26)</f>
        <v>26</v>
      </c>
      <c r="B27">
        <v>60564134</v>
      </c>
      <c r="C27">
        <v>60564082</v>
      </c>
      <c r="D27">
        <v>44902820</v>
      </c>
      <c r="E27">
        <v>1</v>
      </c>
      <c r="F27">
        <v>1</v>
      </c>
      <c r="G27">
        <v>1</v>
      </c>
      <c r="H27">
        <v>3</v>
      </c>
      <c r="I27" t="s">
        <v>277</v>
      </c>
      <c r="J27" t="s">
        <v>278</v>
      </c>
      <c r="K27" t="s">
        <v>279</v>
      </c>
      <c r="L27">
        <v>1348</v>
      </c>
      <c r="N27">
        <v>1009</v>
      </c>
      <c r="O27" t="s">
        <v>32</v>
      </c>
      <c r="P27" t="s">
        <v>32</v>
      </c>
      <c r="Q27">
        <v>1000</v>
      </c>
      <c r="X27">
        <v>3.0000000000000001E-5</v>
      </c>
      <c r="Y27">
        <v>4455.2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 t="s">
        <v>35</v>
      </c>
      <c r="AG27">
        <v>0</v>
      </c>
      <c r="AH27">
        <v>2</v>
      </c>
      <c r="AI27">
        <v>60564134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ROW(Source!A26)</f>
        <v>26</v>
      </c>
      <c r="B28">
        <v>60564135</v>
      </c>
      <c r="C28">
        <v>60564082</v>
      </c>
      <c r="D28">
        <v>44903543</v>
      </c>
      <c r="E28">
        <v>1</v>
      </c>
      <c r="F28">
        <v>1</v>
      </c>
      <c r="G28">
        <v>1</v>
      </c>
      <c r="H28">
        <v>3</v>
      </c>
      <c r="I28" t="s">
        <v>280</v>
      </c>
      <c r="J28" t="s">
        <v>281</v>
      </c>
      <c r="K28" t="s">
        <v>282</v>
      </c>
      <c r="L28">
        <v>1348</v>
      </c>
      <c r="N28">
        <v>1009</v>
      </c>
      <c r="O28" t="s">
        <v>32</v>
      </c>
      <c r="P28" t="s">
        <v>32</v>
      </c>
      <c r="Q28">
        <v>1000</v>
      </c>
      <c r="X28">
        <v>1.9400000000000001E-3</v>
      </c>
      <c r="Y28">
        <v>4920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35</v>
      </c>
      <c r="AG28">
        <v>0</v>
      </c>
      <c r="AH28">
        <v>2</v>
      </c>
      <c r="AI28">
        <v>60564135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ROW(Source!A26)</f>
        <v>26</v>
      </c>
      <c r="B29">
        <v>60564136</v>
      </c>
      <c r="C29">
        <v>60564082</v>
      </c>
      <c r="D29">
        <v>44906806</v>
      </c>
      <c r="E29">
        <v>1</v>
      </c>
      <c r="F29">
        <v>1</v>
      </c>
      <c r="G29">
        <v>1</v>
      </c>
      <c r="H29">
        <v>3</v>
      </c>
      <c r="I29" t="s">
        <v>283</v>
      </c>
      <c r="J29" t="s">
        <v>284</v>
      </c>
      <c r="K29" t="s">
        <v>285</v>
      </c>
      <c r="L29">
        <v>1339</v>
      </c>
      <c r="N29">
        <v>1007</v>
      </c>
      <c r="O29" t="s">
        <v>219</v>
      </c>
      <c r="P29" t="s">
        <v>219</v>
      </c>
      <c r="Q29">
        <v>1</v>
      </c>
      <c r="X29">
        <v>1.0300000000000001E-3</v>
      </c>
      <c r="Y29">
        <v>1700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0</v>
      </c>
      <c r="AF29" t="s">
        <v>35</v>
      </c>
      <c r="AG29">
        <v>0</v>
      </c>
      <c r="AH29">
        <v>2</v>
      </c>
      <c r="AI29">
        <v>60564136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ROW(Source!A26)</f>
        <v>26</v>
      </c>
      <c r="B30">
        <v>60564137</v>
      </c>
      <c r="C30">
        <v>60564082</v>
      </c>
      <c r="D30">
        <v>44914424</v>
      </c>
      <c r="E30">
        <v>1</v>
      </c>
      <c r="F30">
        <v>1</v>
      </c>
      <c r="G30">
        <v>1</v>
      </c>
      <c r="H30">
        <v>3</v>
      </c>
      <c r="I30" t="s">
        <v>286</v>
      </c>
      <c r="J30" t="s">
        <v>287</v>
      </c>
      <c r="K30" t="s">
        <v>288</v>
      </c>
      <c r="L30">
        <v>1348</v>
      </c>
      <c r="N30">
        <v>1009</v>
      </c>
      <c r="O30" t="s">
        <v>32</v>
      </c>
      <c r="P30" t="s">
        <v>32</v>
      </c>
      <c r="Q30">
        <v>1000</v>
      </c>
      <c r="X30">
        <v>3.1E-4</v>
      </c>
      <c r="Y30">
        <v>15620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35</v>
      </c>
      <c r="AG30">
        <v>0</v>
      </c>
      <c r="AH30">
        <v>2</v>
      </c>
      <c r="AI30">
        <v>60564137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ROW(Source!A26)</f>
        <v>26</v>
      </c>
      <c r="B31">
        <v>60564138</v>
      </c>
      <c r="C31">
        <v>60564082</v>
      </c>
      <c r="D31">
        <v>44915537</v>
      </c>
      <c r="E31">
        <v>1</v>
      </c>
      <c r="F31">
        <v>1</v>
      </c>
      <c r="G31">
        <v>1</v>
      </c>
      <c r="H31">
        <v>3</v>
      </c>
      <c r="I31" t="s">
        <v>289</v>
      </c>
      <c r="J31" t="s">
        <v>290</v>
      </c>
      <c r="K31" t="s">
        <v>291</v>
      </c>
      <c r="L31">
        <v>1346</v>
      </c>
      <c r="N31">
        <v>1009</v>
      </c>
      <c r="O31" t="s">
        <v>257</v>
      </c>
      <c r="P31" t="s">
        <v>257</v>
      </c>
      <c r="Q31">
        <v>1</v>
      </c>
      <c r="X31">
        <v>0.6</v>
      </c>
      <c r="Y31">
        <v>9.42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35</v>
      </c>
      <c r="AG31">
        <v>0</v>
      </c>
      <c r="AH31">
        <v>2</v>
      </c>
      <c r="AI31">
        <v>60564138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ROW(Source!A30)</f>
        <v>30</v>
      </c>
      <c r="B32">
        <v>60564141</v>
      </c>
      <c r="C32">
        <v>60564140</v>
      </c>
      <c r="D32">
        <v>44870890</v>
      </c>
      <c r="E32">
        <v>70</v>
      </c>
      <c r="F32">
        <v>1</v>
      </c>
      <c r="G32">
        <v>1</v>
      </c>
      <c r="H32">
        <v>1</v>
      </c>
      <c r="I32" t="s">
        <v>292</v>
      </c>
      <c r="J32" t="s">
        <v>3</v>
      </c>
      <c r="K32" t="s">
        <v>293</v>
      </c>
      <c r="L32">
        <v>1191</v>
      </c>
      <c r="N32">
        <v>1013</v>
      </c>
      <c r="O32" t="s">
        <v>209</v>
      </c>
      <c r="P32" t="s">
        <v>209</v>
      </c>
      <c r="Q32">
        <v>1</v>
      </c>
      <c r="X32">
        <v>53.7</v>
      </c>
      <c r="Y32">
        <v>0</v>
      </c>
      <c r="Z32">
        <v>0</v>
      </c>
      <c r="AA32">
        <v>0</v>
      </c>
      <c r="AB32">
        <v>9.51</v>
      </c>
      <c r="AC32">
        <v>0</v>
      </c>
      <c r="AD32">
        <v>1</v>
      </c>
      <c r="AE32">
        <v>1</v>
      </c>
      <c r="AF32" t="s">
        <v>66</v>
      </c>
      <c r="AG32">
        <v>26.85</v>
      </c>
      <c r="AH32">
        <v>2</v>
      </c>
      <c r="AI32">
        <v>60564141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ROW(Source!A30)</f>
        <v>30</v>
      </c>
      <c r="B33">
        <v>60564142</v>
      </c>
      <c r="C33">
        <v>60564140</v>
      </c>
      <c r="D33">
        <v>44871042</v>
      </c>
      <c r="E33">
        <v>70</v>
      </c>
      <c r="F33">
        <v>1</v>
      </c>
      <c r="G33">
        <v>1</v>
      </c>
      <c r="H33">
        <v>1</v>
      </c>
      <c r="I33" t="s">
        <v>210</v>
      </c>
      <c r="J33" t="s">
        <v>3</v>
      </c>
      <c r="K33" t="s">
        <v>211</v>
      </c>
      <c r="L33">
        <v>1191</v>
      </c>
      <c r="N33">
        <v>1013</v>
      </c>
      <c r="O33" t="s">
        <v>209</v>
      </c>
      <c r="P33" t="s">
        <v>209</v>
      </c>
      <c r="Q33">
        <v>1</v>
      </c>
      <c r="X33">
        <v>8.83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2</v>
      </c>
      <c r="AF33" t="s">
        <v>66</v>
      </c>
      <c r="AG33">
        <v>4.415</v>
      </c>
      <c r="AH33">
        <v>2</v>
      </c>
      <c r="AI33">
        <v>60564142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ROW(Source!A30)</f>
        <v>30</v>
      </c>
      <c r="B34">
        <v>60564143</v>
      </c>
      <c r="C34">
        <v>60564140</v>
      </c>
      <c r="D34">
        <v>45032707</v>
      </c>
      <c r="E34">
        <v>1</v>
      </c>
      <c r="F34">
        <v>1</v>
      </c>
      <c r="G34">
        <v>1</v>
      </c>
      <c r="H34">
        <v>2</v>
      </c>
      <c r="I34" t="s">
        <v>233</v>
      </c>
      <c r="J34" t="s">
        <v>234</v>
      </c>
      <c r="K34" t="s">
        <v>235</v>
      </c>
      <c r="L34">
        <v>1367</v>
      </c>
      <c r="N34">
        <v>1011</v>
      </c>
      <c r="O34" t="s">
        <v>215</v>
      </c>
      <c r="P34" t="s">
        <v>215</v>
      </c>
      <c r="Q34">
        <v>1</v>
      </c>
      <c r="X34">
        <v>7.09</v>
      </c>
      <c r="Y34">
        <v>0</v>
      </c>
      <c r="Z34">
        <v>115.4</v>
      </c>
      <c r="AA34">
        <v>13.5</v>
      </c>
      <c r="AB34">
        <v>0</v>
      </c>
      <c r="AC34">
        <v>0</v>
      </c>
      <c r="AD34">
        <v>1</v>
      </c>
      <c r="AE34">
        <v>0</v>
      </c>
      <c r="AF34" t="s">
        <v>66</v>
      </c>
      <c r="AG34">
        <v>3.5449999999999999</v>
      </c>
      <c r="AH34">
        <v>2</v>
      </c>
      <c r="AI34">
        <v>60564143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ROW(Source!A30)</f>
        <v>30</v>
      </c>
      <c r="B35">
        <v>60564144</v>
      </c>
      <c r="C35">
        <v>60564140</v>
      </c>
      <c r="D35">
        <v>45032844</v>
      </c>
      <c r="E35">
        <v>1</v>
      </c>
      <c r="F35">
        <v>1</v>
      </c>
      <c r="G35">
        <v>1</v>
      </c>
      <c r="H35">
        <v>2</v>
      </c>
      <c r="I35" t="s">
        <v>295</v>
      </c>
      <c r="J35" t="s">
        <v>296</v>
      </c>
      <c r="K35" t="s">
        <v>297</v>
      </c>
      <c r="L35">
        <v>1367</v>
      </c>
      <c r="N35">
        <v>1011</v>
      </c>
      <c r="O35" t="s">
        <v>215</v>
      </c>
      <c r="P35" t="s">
        <v>215</v>
      </c>
      <c r="Q35">
        <v>1</v>
      </c>
      <c r="X35">
        <v>1.04</v>
      </c>
      <c r="Y35">
        <v>0</v>
      </c>
      <c r="Z35">
        <v>6.9</v>
      </c>
      <c r="AA35">
        <v>0</v>
      </c>
      <c r="AB35">
        <v>0</v>
      </c>
      <c r="AC35">
        <v>0</v>
      </c>
      <c r="AD35">
        <v>1</v>
      </c>
      <c r="AE35">
        <v>0</v>
      </c>
      <c r="AF35" t="s">
        <v>66</v>
      </c>
      <c r="AG35">
        <v>0.52</v>
      </c>
      <c r="AH35">
        <v>2</v>
      </c>
      <c r="AI35">
        <v>60564144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ROW(Source!A30)</f>
        <v>30</v>
      </c>
      <c r="B36">
        <v>60564145</v>
      </c>
      <c r="C36">
        <v>60564140</v>
      </c>
      <c r="D36">
        <v>45033637</v>
      </c>
      <c r="E36">
        <v>1</v>
      </c>
      <c r="F36">
        <v>1</v>
      </c>
      <c r="G36">
        <v>1</v>
      </c>
      <c r="H36">
        <v>2</v>
      </c>
      <c r="I36" t="s">
        <v>212</v>
      </c>
      <c r="J36" t="s">
        <v>213</v>
      </c>
      <c r="K36" t="s">
        <v>214</v>
      </c>
      <c r="L36">
        <v>1367</v>
      </c>
      <c r="N36">
        <v>1011</v>
      </c>
      <c r="O36" t="s">
        <v>215</v>
      </c>
      <c r="P36" t="s">
        <v>215</v>
      </c>
      <c r="Q36">
        <v>1</v>
      </c>
      <c r="X36">
        <v>1.74</v>
      </c>
      <c r="Y36">
        <v>0</v>
      </c>
      <c r="Z36">
        <v>65.709999999999994</v>
      </c>
      <c r="AA36">
        <v>11.6</v>
      </c>
      <c r="AB36">
        <v>0</v>
      </c>
      <c r="AC36">
        <v>0</v>
      </c>
      <c r="AD36">
        <v>1</v>
      </c>
      <c r="AE36">
        <v>0</v>
      </c>
      <c r="AF36" t="s">
        <v>66</v>
      </c>
      <c r="AG36">
        <v>0.87</v>
      </c>
      <c r="AH36">
        <v>2</v>
      </c>
      <c r="AI36">
        <v>60564145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ROW(Source!A30)</f>
        <v>30</v>
      </c>
      <c r="B37">
        <v>60564146</v>
      </c>
      <c r="C37">
        <v>60564140</v>
      </c>
      <c r="D37">
        <v>45033849</v>
      </c>
      <c r="E37">
        <v>1</v>
      </c>
      <c r="F37">
        <v>1</v>
      </c>
      <c r="G37">
        <v>1</v>
      </c>
      <c r="H37">
        <v>2</v>
      </c>
      <c r="I37" t="s">
        <v>298</v>
      </c>
      <c r="J37" t="s">
        <v>299</v>
      </c>
      <c r="K37" t="s">
        <v>300</v>
      </c>
      <c r="L37">
        <v>1367</v>
      </c>
      <c r="N37">
        <v>1011</v>
      </c>
      <c r="O37" t="s">
        <v>215</v>
      </c>
      <c r="P37" t="s">
        <v>215</v>
      </c>
      <c r="Q37">
        <v>1</v>
      </c>
      <c r="X37">
        <v>5.34</v>
      </c>
      <c r="Y37">
        <v>0</v>
      </c>
      <c r="Z37">
        <v>8.1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66</v>
      </c>
      <c r="AG37">
        <v>2.67</v>
      </c>
      <c r="AH37">
        <v>2</v>
      </c>
      <c r="AI37">
        <v>60564146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ROW(Source!A30)</f>
        <v>30</v>
      </c>
      <c r="B38">
        <v>60564147</v>
      </c>
      <c r="C38">
        <v>60564140</v>
      </c>
      <c r="D38">
        <v>44883334</v>
      </c>
      <c r="E38">
        <v>1</v>
      </c>
      <c r="F38">
        <v>1</v>
      </c>
      <c r="G38">
        <v>1</v>
      </c>
      <c r="H38">
        <v>3</v>
      </c>
      <c r="I38" t="s">
        <v>301</v>
      </c>
      <c r="J38" t="s">
        <v>302</v>
      </c>
      <c r="K38" t="s">
        <v>303</v>
      </c>
      <c r="L38">
        <v>1339</v>
      </c>
      <c r="N38">
        <v>1007</v>
      </c>
      <c r="O38" t="s">
        <v>219</v>
      </c>
      <c r="P38" t="s">
        <v>219</v>
      </c>
      <c r="Q38">
        <v>1</v>
      </c>
      <c r="X38">
        <v>15</v>
      </c>
      <c r="Y38">
        <v>2.44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 t="s">
        <v>35</v>
      </c>
      <c r="AG38">
        <v>0</v>
      </c>
      <c r="AH38">
        <v>2</v>
      </c>
      <c r="AI38">
        <v>60564147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ROW(Source!A30)</f>
        <v>30</v>
      </c>
      <c r="B39">
        <v>60564148</v>
      </c>
      <c r="C39">
        <v>60564140</v>
      </c>
      <c r="D39">
        <v>44883346</v>
      </c>
      <c r="E39">
        <v>1</v>
      </c>
      <c r="F39">
        <v>1</v>
      </c>
      <c r="G39">
        <v>1</v>
      </c>
      <c r="H39">
        <v>3</v>
      </c>
      <c r="I39" t="s">
        <v>304</v>
      </c>
      <c r="J39" t="s">
        <v>305</v>
      </c>
      <c r="K39" t="s">
        <v>306</v>
      </c>
      <c r="L39">
        <v>1383</v>
      </c>
      <c r="N39">
        <v>1013</v>
      </c>
      <c r="O39" t="s">
        <v>307</v>
      </c>
      <c r="P39" t="s">
        <v>307</v>
      </c>
      <c r="Q39">
        <v>1</v>
      </c>
      <c r="X39">
        <v>2.9</v>
      </c>
      <c r="Y39">
        <v>0.4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35</v>
      </c>
      <c r="AG39">
        <v>0</v>
      </c>
      <c r="AH39">
        <v>2</v>
      </c>
      <c r="AI39">
        <v>60564148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ROW(Source!A30)</f>
        <v>30</v>
      </c>
      <c r="B40">
        <v>60564149</v>
      </c>
      <c r="C40">
        <v>60564140</v>
      </c>
      <c r="D40">
        <v>44884430</v>
      </c>
      <c r="E40">
        <v>1</v>
      </c>
      <c r="F40">
        <v>1</v>
      </c>
      <c r="G40">
        <v>1</v>
      </c>
      <c r="H40">
        <v>3</v>
      </c>
      <c r="I40" t="s">
        <v>308</v>
      </c>
      <c r="J40" t="s">
        <v>309</v>
      </c>
      <c r="K40" t="s">
        <v>310</v>
      </c>
      <c r="L40">
        <v>1348</v>
      </c>
      <c r="N40">
        <v>1009</v>
      </c>
      <c r="O40" t="s">
        <v>32</v>
      </c>
      <c r="P40" t="s">
        <v>32</v>
      </c>
      <c r="Q40">
        <v>1000</v>
      </c>
      <c r="X40">
        <v>2.5999999999999999E-3</v>
      </c>
      <c r="Y40">
        <v>12650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35</v>
      </c>
      <c r="AG40">
        <v>0</v>
      </c>
      <c r="AH40">
        <v>2</v>
      </c>
      <c r="AI40">
        <v>60564149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ROW(Source!A30)</f>
        <v>30</v>
      </c>
      <c r="B41">
        <v>60564150</v>
      </c>
      <c r="C41">
        <v>60564140</v>
      </c>
      <c r="D41">
        <v>44900404</v>
      </c>
      <c r="E41">
        <v>1</v>
      </c>
      <c r="F41">
        <v>1</v>
      </c>
      <c r="G41">
        <v>1</v>
      </c>
      <c r="H41">
        <v>3</v>
      </c>
      <c r="I41" t="s">
        <v>311</v>
      </c>
      <c r="J41" t="s">
        <v>312</v>
      </c>
      <c r="K41" t="s">
        <v>313</v>
      </c>
      <c r="L41">
        <v>1346</v>
      </c>
      <c r="N41">
        <v>1009</v>
      </c>
      <c r="O41" t="s">
        <v>257</v>
      </c>
      <c r="P41" t="s">
        <v>257</v>
      </c>
      <c r="Q41">
        <v>1</v>
      </c>
      <c r="X41">
        <v>3</v>
      </c>
      <c r="Y41">
        <v>12.6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35</v>
      </c>
      <c r="AG41">
        <v>0</v>
      </c>
      <c r="AH41">
        <v>2</v>
      </c>
      <c r="AI41">
        <v>60564150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ROW(Source!A30)</f>
        <v>30</v>
      </c>
      <c r="B42">
        <v>60564151</v>
      </c>
      <c r="C42">
        <v>60564140</v>
      </c>
      <c r="D42">
        <v>44875764</v>
      </c>
      <c r="E42">
        <v>70</v>
      </c>
      <c r="F42">
        <v>1</v>
      </c>
      <c r="G42">
        <v>1</v>
      </c>
      <c r="H42">
        <v>3</v>
      </c>
      <c r="I42" t="s">
        <v>75</v>
      </c>
      <c r="J42" t="s">
        <v>3</v>
      </c>
      <c r="K42" t="s">
        <v>76</v>
      </c>
      <c r="L42">
        <v>1348</v>
      </c>
      <c r="N42">
        <v>1009</v>
      </c>
      <c r="O42" t="s">
        <v>32</v>
      </c>
      <c r="P42" t="s">
        <v>32</v>
      </c>
      <c r="Q42">
        <v>1000</v>
      </c>
      <c r="X42">
        <v>3.16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 t="s">
        <v>35</v>
      </c>
      <c r="AG42">
        <v>0</v>
      </c>
      <c r="AH42">
        <v>2</v>
      </c>
      <c r="AI42">
        <v>60564151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ROW(Source!A30)</f>
        <v>30</v>
      </c>
      <c r="B43">
        <v>60564152</v>
      </c>
      <c r="C43">
        <v>60564140</v>
      </c>
      <c r="D43">
        <v>44875768</v>
      </c>
      <c r="E43">
        <v>70</v>
      </c>
      <c r="F43">
        <v>1</v>
      </c>
      <c r="G43">
        <v>1</v>
      </c>
      <c r="H43">
        <v>3</v>
      </c>
      <c r="I43" t="s">
        <v>314</v>
      </c>
      <c r="J43" t="s">
        <v>3</v>
      </c>
      <c r="K43" t="s">
        <v>315</v>
      </c>
      <c r="L43">
        <v>1374</v>
      </c>
      <c r="N43">
        <v>1013</v>
      </c>
      <c r="O43" t="s">
        <v>316</v>
      </c>
      <c r="P43" t="s">
        <v>316</v>
      </c>
      <c r="Q43">
        <v>1</v>
      </c>
      <c r="X43">
        <v>10.210000000000001</v>
      </c>
      <c r="Y43">
        <v>1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35</v>
      </c>
      <c r="AG43">
        <v>0</v>
      </c>
      <c r="AH43">
        <v>2</v>
      </c>
      <c r="AI43">
        <v>60564152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ROW(Source!A32)</f>
        <v>32</v>
      </c>
      <c r="B44">
        <v>60564083</v>
      </c>
      <c r="C44">
        <v>60564081</v>
      </c>
      <c r="D44">
        <v>44870926</v>
      </c>
      <c r="E44">
        <v>70</v>
      </c>
      <c r="F44">
        <v>1</v>
      </c>
      <c r="G44">
        <v>1</v>
      </c>
      <c r="H44">
        <v>1</v>
      </c>
      <c r="I44" t="s">
        <v>317</v>
      </c>
      <c r="J44" t="s">
        <v>3</v>
      </c>
      <c r="K44" t="s">
        <v>318</v>
      </c>
      <c r="L44">
        <v>1191</v>
      </c>
      <c r="N44">
        <v>1013</v>
      </c>
      <c r="O44" t="s">
        <v>209</v>
      </c>
      <c r="P44" t="s">
        <v>209</v>
      </c>
      <c r="Q44">
        <v>1</v>
      </c>
      <c r="X44">
        <v>19</v>
      </c>
      <c r="Y44">
        <v>0</v>
      </c>
      <c r="Z44">
        <v>0</v>
      </c>
      <c r="AA44">
        <v>0</v>
      </c>
      <c r="AB44">
        <v>11.09</v>
      </c>
      <c r="AC44">
        <v>0</v>
      </c>
      <c r="AD44">
        <v>1</v>
      </c>
      <c r="AE44">
        <v>1</v>
      </c>
      <c r="AF44" t="s">
        <v>82</v>
      </c>
      <c r="AG44">
        <v>13.831999999999999</v>
      </c>
      <c r="AH44">
        <v>2</v>
      </c>
      <c r="AI44">
        <v>60564083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ROW(Source!A32)</f>
        <v>32</v>
      </c>
      <c r="B45">
        <v>60564084</v>
      </c>
      <c r="C45">
        <v>60564081</v>
      </c>
      <c r="D45">
        <v>44871042</v>
      </c>
      <c r="E45">
        <v>70</v>
      </c>
      <c r="F45">
        <v>1</v>
      </c>
      <c r="G45">
        <v>1</v>
      </c>
      <c r="H45">
        <v>1</v>
      </c>
      <c r="I45" t="s">
        <v>210</v>
      </c>
      <c r="J45" t="s">
        <v>3</v>
      </c>
      <c r="K45" t="s">
        <v>211</v>
      </c>
      <c r="L45">
        <v>1191</v>
      </c>
      <c r="N45">
        <v>1013</v>
      </c>
      <c r="O45" t="s">
        <v>209</v>
      </c>
      <c r="P45" t="s">
        <v>209</v>
      </c>
      <c r="Q45">
        <v>1</v>
      </c>
      <c r="X45">
        <v>6.23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2</v>
      </c>
      <c r="AF45" t="s">
        <v>82</v>
      </c>
      <c r="AG45">
        <v>4.5354399999999995</v>
      </c>
      <c r="AH45">
        <v>2</v>
      </c>
      <c r="AI45">
        <v>60564084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ROW(Source!A32)</f>
        <v>32</v>
      </c>
      <c r="B46">
        <v>60564085</v>
      </c>
      <c r="C46">
        <v>60564081</v>
      </c>
      <c r="D46">
        <v>45032707</v>
      </c>
      <c r="E46">
        <v>1</v>
      </c>
      <c r="F46">
        <v>1</v>
      </c>
      <c r="G46">
        <v>1</v>
      </c>
      <c r="H46">
        <v>2</v>
      </c>
      <c r="I46" t="s">
        <v>233</v>
      </c>
      <c r="J46" t="s">
        <v>234</v>
      </c>
      <c r="K46" t="s">
        <v>235</v>
      </c>
      <c r="L46">
        <v>1367</v>
      </c>
      <c r="N46">
        <v>1011</v>
      </c>
      <c r="O46" t="s">
        <v>215</v>
      </c>
      <c r="P46" t="s">
        <v>215</v>
      </c>
      <c r="Q46">
        <v>1</v>
      </c>
      <c r="X46">
        <v>0.21</v>
      </c>
      <c r="Y46">
        <v>0</v>
      </c>
      <c r="Z46">
        <v>115.4</v>
      </c>
      <c r="AA46">
        <v>13.5</v>
      </c>
      <c r="AB46">
        <v>0</v>
      </c>
      <c r="AC46">
        <v>0</v>
      </c>
      <c r="AD46">
        <v>1</v>
      </c>
      <c r="AE46">
        <v>0</v>
      </c>
      <c r="AF46" t="s">
        <v>82</v>
      </c>
      <c r="AG46">
        <v>0.15287999999999999</v>
      </c>
      <c r="AH46">
        <v>2</v>
      </c>
      <c r="AI46">
        <v>60564085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ROW(Source!A32)</f>
        <v>32</v>
      </c>
      <c r="B47">
        <v>60564086</v>
      </c>
      <c r="C47">
        <v>60564081</v>
      </c>
      <c r="D47">
        <v>45032713</v>
      </c>
      <c r="E47">
        <v>1</v>
      </c>
      <c r="F47">
        <v>1</v>
      </c>
      <c r="G47">
        <v>1</v>
      </c>
      <c r="H47">
        <v>2</v>
      </c>
      <c r="I47" t="s">
        <v>236</v>
      </c>
      <c r="J47" t="s">
        <v>237</v>
      </c>
      <c r="K47" t="s">
        <v>238</v>
      </c>
      <c r="L47">
        <v>1367</v>
      </c>
      <c r="N47">
        <v>1011</v>
      </c>
      <c r="O47" t="s">
        <v>215</v>
      </c>
      <c r="P47" t="s">
        <v>215</v>
      </c>
      <c r="Q47">
        <v>1</v>
      </c>
      <c r="X47">
        <v>4.1900000000000004</v>
      </c>
      <c r="Y47">
        <v>0</v>
      </c>
      <c r="Z47">
        <v>120.04</v>
      </c>
      <c r="AA47">
        <v>13.5</v>
      </c>
      <c r="AB47">
        <v>0</v>
      </c>
      <c r="AC47">
        <v>0</v>
      </c>
      <c r="AD47">
        <v>1</v>
      </c>
      <c r="AE47">
        <v>0</v>
      </c>
      <c r="AF47" t="s">
        <v>82</v>
      </c>
      <c r="AG47">
        <v>3.0503200000000006</v>
      </c>
      <c r="AH47">
        <v>2</v>
      </c>
      <c r="AI47">
        <v>60564086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ROW(Source!A32)</f>
        <v>32</v>
      </c>
      <c r="B48">
        <v>60564087</v>
      </c>
      <c r="C48">
        <v>60564081</v>
      </c>
      <c r="D48">
        <v>45032834</v>
      </c>
      <c r="E48">
        <v>1</v>
      </c>
      <c r="F48">
        <v>1</v>
      </c>
      <c r="G48">
        <v>1</v>
      </c>
      <c r="H48">
        <v>2</v>
      </c>
      <c r="I48" t="s">
        <v>320</v>
      </c>
      <c r="J48" t="s">
        <v>321</v>
      </c>
      <c r="K48" t="s">
        <v>322</v>
      </c>
      <c r="L48">
        <v>1367</v>
      </c>
      <c r="N48">
        <v>1011</v>
      </c>
      <c r="O48" t="s">
        <v>215</v>
      </c>
      <c r="P48" t="s">
        <v>215</v>
      </c>
      <c r="Q48">
        <v>1</v>
      </c>
      <c r="X48">
        <v>0.16</v>
      </c>
      <c r="Y48">
        <v>0</v>
      </c>
      <c r="Z48">
        <v>9.2100000000000009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82</v>
      </c>
      <c r="AG48">
        <v>0.11647999999999999</v>
      </c>
      <c r="AH48">
        <v>2</v>
      </c>
      <c r="AI48">
        <v>60564087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ROW(Source!A32)</f>
        <v>32</v>
      </c>
      <c r="B49">
        <v>60564088</v>
      </c>
      <c r="C49">
        <v>60564081</v>
      </c>
      <c r="D49">
        <v>45033637</v>
      </c>
      <c r="E49">
        <v>1</v>
      </c>
      <c r="F49">
        <v>1</v>
      </c>
      <c r="G49">
        <v>1</v>
      </c>
      <c r="H49">
        <v>2</v>
      </c>
      <c r="I49" t="s">
        <v>212</v>
      </c>
      <c r="J49" t="s">
        <v>213</v>
      </c>
      <c r="K49" t="s">
        <v>214</v>
      </c>
      <c r="L49">
        <v>1367</v>
      </c>
      <c r="N49">
        <v>1011</v>
      </c>
      <c r="O49" t="s">
        <v>215</v>
      </c>
      <c r="P49" t="s">
        <v>215</v>
      </c>
      <c r="Q49">
        <v>1</v>
      </c>
      <c r="X49">
        <v>0.32</v>
      </c>
      <c r="Y49">
        <v>0</v>
      </c>
      <c r="Z49">
        <v>65.709999999999994</v>
      </c>
      <c r="AA49">
        <v>11.6</v>
      </c>
      <c r="AB49">
        <v>0</v>
      </c>
      <c r="AC49">
        <v>0</v>
      </c>
      <c r="AD49">
        <v>1</v>
      </c>
      <c r="AE49">
        <v>0</v>
      </c>
      <c r="AF49" t="s">
        <v>82</v>
      </c>
      <c r="AG49">
        <v>0.23295999999999997</v>
      </c>
      <c r="AH49">
        <v>2</v>
      </c>
      <c r="AI49">
        <v>60564088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ROW(Source!A32)</f>
        <v>32</v>
      </c>
      <c r="B50">
        <v>60564089</v>
      </c>
      <c r="C50">
        <v>60564081</v>
      </c>
      <c r="D50">
        <v>45033704</v>
      </c>
      <c r="E50">
        <v>1</v>
      </c>
      <c r="F50">
        <v>1</v>
      </c>
      <c r="G50">
        <v>1</v>
      </c>
      <c r="H50">
        <v>2</v>
      </c>
      <c r="I50" t="s">
        <v>323</v>
      </c>
      <c r="J50" t="s">
        <v>324</v>
      </c>
      <c r="K50" t="s">
        <v>325</v>
      </c>
      <c r="L50">
        <v>1367</v>
      </c>
      <c r="N50">
        <v>1011</v>
      </c>
      <c r="O50" t="s">
        <v>215</v>
      </c>
      <c r="P50" t="s">
        <v>215</v>
      </c>
      <c r="Q50">
        <v>1</v>
      </c>
      <c r="X50">
        <v>1.36</v>
      </c>
      <c r="Y50">
        <v>0</v>
      </c>
      <c r="Z50">
        <v>83.1</v>
      </c>
      <c r="AA50">
        <v>14.4</v>
      </c>
      <c r="AB50">
        <v>0</v>
      </c>
      <c r="AC50">
        <v>0</v>
      </c>
      <c r="AD50">
        <v>1</v>
      </c>
      <c r="AE50">
        <v>0</v>
      </c>
      <c r="AF50" t="s">
        <v>82</v>
      </c>
      <c r="AG50">
        <v>0.99007999999999996</v>
      </c>
      <c r="AH50">
        <v>2</v>
      </c>
      <c r="AI50">
        <v>60564089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ROW(Source!A32)</f>
        <v>32</v>
      </c>
      <c r="B51">
        <v>60564090</v>
      </c>
      <c r="C51">
        <v>60564081</v>
      </c>
      <c r="D51">
        <v>45033766</v>
      </c>
      <c r="E51">
        <v>1</v>
      </c>
      <c r="F51">
        <v>1</v>
      </c>
      <c r="G51">
        <v>1</v>
      </c>
      <c r="H51">
        <v>2</v>
      </c>
      <c r="I51" t="s">
        <v>326</v>
      </c>
      <c r="J51" t="s">
        <v>327</v>
      </c>
      <c r="K51" t="s">
        <v>328</v>
      </c>
      <c r="L51">
        <v>1367</v>
      </c>
      <c r="N51">
        <v>1011</v>
      </c>
      <c r="O51" t="s">
        <v>215</v>
      </c>
      <c r="P51" t="s">
        <v>215</v>
      </c>
      <c r="Q51">
        <v>1</v>
      </c>
      <c r="X51">
        <v>0.06</v>
      </c>
      <c r="Y51">
        <v>0</v>
      </c>
      <c r="Z51">
        <v>12.24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82</v>
      </c>
      <c r="AG51">
        <v>4.3679999999999997E-2</v>
      </c>
      <c r="AH51">
        <v>2</v>
      </c>
      <c r="AI51">
        <v>60564090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ROW(Source!A32)</f>
        <v>32</v>
      </c>
      <c r="B52">
        <v>60564091</v>
      </c>
      <c r="C52">
        <v>60564081</v>
      </c>
      <c r="D52">
        <v>45033792</v>
      </c>
      <c r="E52">
        <v>1</v>
      </c>
      <c r="F52">
        <v>1</v>
      </c>
      <c r="G52">
        <v>1</v>
      </c>
      <c r="H52">
        <v>2</v>
      </c>
      <c r="I52" t="s">
        <v>245</v>
      </c>
      <c r="J52" t="s">
        <v>246</v>
      </c>
      <c r="K52" t="s">
        <v>247</v>
      </c>
      <c r="L52">
        <v>1367</v>
      </c>
      <c r="N52">
        <v>1011</v>
      </c>
      <c r="O52" t="s">
        <v>215</v>
      </c>
      <c r="P52" t="s">
        <v>215</v>
      </c>
      <c r="Q52">
        <v>1</v>
      </c>
      <c r="X52">
        <v>1.23</v>
      </c>
      <c r="Y52">
        <v>0</v>
      </c>
      <c r="Z52">
        <v>1.2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82</v>
      </c>
      <c r="AG52">
        <v>0.89544000000000001</v>
      </c>
      <c r="AH52">
        <v>2</v>
      </c>
      <c r="AI52">
        <v>60564091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ROW(Source!A32)</f>
        <v>32</v>
      </c>
      <c r="B53">
        <v>60564092</v>
      </c>
      <c r="C53">
        <v>60564081</v>
      </c>
      <c r="D53">
        <v>45033835</v>
      </c>
      <c r="E53">
        <v>1</v>
      </c>
      <c r="F53">
        <v>1</v>
      </c>
      <c r="G53">
        <v>1</v>
      </c>
      <c r="H53">
        <v>2</v>
      </c>
      <c r="I53" t="s">
        <v>248</v>
      </c>
      <c r="J53" t="s">
        <v>249</v>
      </c>
      <c r="K53" t="s">
        <v>250</v>
      </c>
      <c r="L53">
        <v>1367</v>
      </c>
      <c r="N53">
        <v>1011</v>
      </c>
      <c r="O53" t="s">
        <v>215</v>
      </c>
      <c r="P53" t="s">
        <v>215</v>
      </c>
      <c r="Q53">
        <v>1</v>
      </c>
      <c r="X53">
        <v>4.5999999999999996</v>
      </c>
      <c r="Y53">
        <v>0</v>
      </c>
      <c r="Z53">
        <v>12.31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82</v>
      </c>
      <c r="AG53">
        <v>3.3487999999999998</v>
      </c>
      <c r="AH53">
        <v>2</v>
      </c>
      <c r="AI53">
        <v>60564092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ROW(Source!A32)</f>
        <v>32</v>
      </c>
      <c r="B54">
        <v>60564093</v>
      </c>
      <c r="C54">
        <v>60564081</v>
      </c>
      <c r="D54">
        <v>45033863</v>
      </c>
      <c r="E54">
        <v>1</v>
      </c>
      <c r="F54">
        <v>1</v>
      </c>
      <c r="G54">
        <v>1</v>
      </c>
      <c r="H54">
        <v>2</v>
      </c>
      <c r="I54" t="s">
        <v>329</v>
      </c>
      <c r="J54" t="s">
        <v>330</v>
      </c>
      <c r="K54" t="s">
        <v>331</v>
      </c>
      <c r="L54">
        <v>1367</v>
      </c>
      <c r="N54">
        <v>1011</v>
      </c>
      <c r="O54" t="s">
        <v>215</v>
      </c>
      <c r="P54" t="s">
        <v>215</v>
      </c>
      <c r="Q54">
        <v>1</v>
      </c>
      <c r="X54">
        <v>0.15</v>
      </c>
      <c r="Y54">
        <v>0</v>
      </c>
      <c r="Z54">
        <v>90</v>
      </c>
      <c r="AA54">
        <v>10.06</v>
      </c>
      <c r="AB54">
        <v>0</v>
      </c>
      <c r="AC54">
        <v>0</v>
      </c>
      <c r="AD54">
        <v>1</v>
      </c>
      <c r="AE54">
        <v>0</v>
      </c>
      <c r="AF54" t="s">
        <v>82</v>
      </c>
      <c r="AG54">
        <v>0.10920000000000001</v>
      </c>
      <c r="AH54">
        <v>2</v>
      </c>
      <c r="AI54">
        <v>60564093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ROW(Source!A32)</f>
        <v>32</v>
      </c>
      <c r="B55">
        <v>60564094</v>
      </c>
      <c r="C55">
        <v>60564081</v>
      </c>
      <c r="D55">
        <v>44881628</v>
      </c>
      <c r="E55">
        <v>1</v>
      </c>
      <c r="F55">
        <v>1</v>
      </c>
      <c r="G55">
        <v>1</v>
      </c>
      <c r="H55">
        <v>3</v>
      </c>
      <c r="I55" t="s">
        <v>332</v>
      </c>
      <c r="J55" t="s">
        <v>333</v>
      </c>
      <c r="K55" t="s">
        <v>334</v>
      </c>
      <c r="L55">
        <v>1348</v>
      </c>
      <c r="N55">
        <v>1009</v>
      </c>
      <c r="O55" t="s">
        <v>32</v>
      </c>
      <c r="P55" t="s">
        <v>32</v>
      </c>
      <c r="Q55">
        <v>1000</v>
      </c>
      <c r="X55">
        <v>7.5000000000000002E-4</v>
      </c>
      <c r="Y55">
        <v>2606.9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 t="s">
        <v>81</v>
      </c>
      <c r="AG55">
        <v>0</v>
      </c>
      <c r="AH55">
        <v>2</v>
      </c>
      <c r="AI55">
        <v>60564094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ROW(Source!A32)</f>
        <v>32</v>
      </c>
      <c r="B56">
        <v>60564095</v>
      </c>
      <c r="C56">
        <v>60564081</v>
      </c>
      <c r="D56">
        <v>44881732</v>
      </c>
      <c r="E56">
        <v>1</v>
      </c>
      <c r="F56">
        <v>1</v>
      </c>
      <c r="G56">
        <v>1</v>
      </c>
      <c r="H56">
        <v>3</v>
      </c>
      <c r="I56" t="s">
        <v>251</v>
      </c>
      <c r="J56" t="s">
        <v>252</v>
      </c>
      <c r="K56" t="s">
        <v>253</v>
      </c>
      <c r="L56">
        <v>1339</v>
      </c>
      <c r="N56">
        <v>1007</v>
      </c>
      <c r="O56" t="s">
        <v>219</v>
      </c>
      <c r="P56" t="s">
        <v>219</v>
      </c>
      <c r="Q56">
        <v>1</v>
      </c>
      <c r="X56">
        <v>1.1200000000000001</v>
      </c>
      <c r="Y56">
        <v>6.22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 t="s">
        <v>81</v>
      </c>
      <c r="AG56">
        <v>0</v>
      </c>
      <c r="AH56">
        <v>2</v>
      </c>
      <c r="AI56">
        <v>60564095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ROW(Source!A32)</f>
        <v>32</v>
      </c>
      <c r="B57">
        <v>60564096</v>
      </c>
      <c r="C57">
        <v>60564081</v>
      </c>
      <c r="D57">
        <v>44881738</v>
      </c>
      <c r="E57">
        <v>1</v>
      </c>
      <c r="F57">
        <v>1</v>
      </c>
      <c r="G57">
        <v>1</v>
      </c>
      <c r="H57">
        <v>3</v>
      </c>
      <c r="I57" t="s">
        <v>254</v>
      </c>
      <c r="J57" t="s">
        <v>255</v>
      </c>
      <c r="K57" t="s">
        <v>256</v>
      </c>
      <c r="L57">
        <v>1346</v>
      </c>
      <c r="N57">
        <v>1009</v>
      </c>
      <c r="O57" t="s">
        <v>257</v>
      </c>
      <c r="P57" t="s">
        <v>257</v>
      </c>
      <c r="Q57">
        <v>1</v>
      </c>
      <c r="X57">
        <v>0.35</v>
      </c>
      <c r="Y57">
        <v>6.09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81</v>
      </c>
      <c r="AG57">
        <v>0</v>
      </c>
      <c r="AH57">
        <v>2</v>
      </c>
      <c r="AI57">
        <v>60564096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ROW(Source!A32)</f>
        <v>32</v>
      </c>
      <c r="B58">
        <v>60564097</v>
      </c>
      <c r="C58">
        <v>60564081</v>
      </c>
      <c r="D58">
        <v>44883334</v>
      </c>
      <c r="E58">
        <v>1</v>
      </c>
      <c r="F58">
        <v>1</v>
      </c>
      <c r="G58">
        <v>1</v>
      </c>
      <c r="H58">
        <v>3</v>
      </c>
      <c r="I58" t="s">
        <v>301</v>
      </c>
      <c r="J58" t="s">
        <v>302</v>
      </c>
      <c r="K58" t="s">
        <v>303</v>
      </c>
      <c r="L58">
        <v>1339</v>
      </c>
      <c r="N58">
        <v>1007</v>
      </c>
      <c r="O58" t="s">
        <v>219</v>
      </c>
      <c r="P58" t="s">
        <v>219</v>
      </c>
      <c r="Q58">
        <v>1</v>
      </c>
      <c r="X58">
        <v>39.4</v>
      </c>
      <c r="Y58">
        <v>2.44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81</v>
      </c>
      <c r="AG58">
        <v>0</v>
      </c>
      <c r="AH58">
        <v>2</v>
      </c>
      <c r="AI58">
        <v>60564097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ROW(Source!A32)</f>
        <v>32</v>
      </c>
      <c r="B59">
        <v>60564098</v>
      </c>
      <c r="C59">
        <v>60564081</v>
      </c>
      <c r="D59">
        <v>44883789</v>
      </c>
      <c r="E59">
        <v>1</v>
      </c>
      <c r="F59">
        <v>1</v>
      </c>
      <c r="G59">
        <v>1</v>
      </c>
      <c r="H59">
        <v>3</v>
      </c>
      <c r="I59" t="s">
        <v>335</v>
      </c>
      <c r="J59" t="s">
        <v>336</v>
      </c>
      <c r="K59" t="s">
        <v>337</v>
      </c>
      <c r="L59">
        <v>1371</v>
      </c>
      <c r="N59">
        <v>1013</v>
      </c>
      <c r="O59" t="s">
        <v>63</v>
      </c>
      <c r="P59" t="s">
        <v>63</v>
      </c>
      <c r="Q59">
        <v>1</v>
      </c>
      <c r="X59">
        <v>0.28000000000000003</v>
      </c>
      <c r="Y59">
        <v>4.5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 t="s">
        <v>81</v>
      </c>
      <c r="AG59">
        <v>0</v>
      </c>
      <c r="AH59">
        <v>2</v>
      </c>
      <c r="AI59">
        <v>60564098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ROW(Source!A32)</f>
        <v>32</v>
      </c>
      <c r="B60">
        <v>60564099</v>
      </c>
      <c r="C60">
        <v>60564081</v>
      </c>
      <c r="D60">
        <v>44884455</v>
      </c>
      <c r="E60">
        <v>1</v>
      </c>
      <c r="F60">
        <v>1</v>
      </c>
      <c r="G60">
        <v>1</v>
      </c>
      <c r="H60">
        <v>3</v>
      </c>
      <c r="I60" t="s">
        <v>338</v>
      </c>
      <c r="J60" t="s">
        <v>339</v>
      </c>
      <c r="K60" t="s">
        <v>340</v>
      </c>
      <c r="L60">
        <v>1348</v>
      </c>
      <c r="N60">
        <v>1009</v>
      </c>
      <c r="O60" t="s">
        <v>32</v>
      </c>
      <c r="P60" t="s">
        <v>32</v>
      </c>
      <c r="Q60">
        <v>1000</v>
      </c>
      <c r="X60">
        <v>4.0000000000000001E-3</v>
      </c>
      <c r="Y60">
        <v>9503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 t="s">
        <v>81</v>
      </c>
      <c r="AG60">
        <v>0</v>
      </c>
      <c r="AH60">
        <v>2</v>
      </c>
      <c r="AI60">
        <v>60564099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ROW(Source!A32)</f>
        <v>32</v>
      </c>
      <c r="B61">
        <v>60564100</v>
      </c>
      <c r="C61">
        <v>60564081</v>
      </c>
      <c r="D61">
        <v>44885621</v>
      </c>
      <c r="E61">
        <v>1</v>
      </c>
      <c r="F61">
        <v>1</v>
      </c>
      <c r="G61">
        <v>1</v>
      </c>
      <c r="H61">
        <v>3</v>
      </c>
      <c r="I61" t="s">
        <v>261</v>
      </c>
      <c r="J61" t="s">
        <v>262</v>
      </c>
      <c r="K61" t="s">
        <v>263</v>
      </c>
      <c r="L61">
        <v>1346</v>
      </c>
      <c r="N61">
        <v>1009</v>
      </c>
      <c r="O61" t="s">
        <v>257</v>
      </c>
      <c r="P61" t="s">
        <v>257</v>
      </c>
      <c r="Q61">
        <v>1</v>
      </c>
      <c r="X61">
        <v>1.45</v>
      </c>
      <c r="Y61">
        <v>9.0399999999999991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81</v>
      </c>
      <c r="AG61">
        <v>0</v>
      </c>
      <c r="AH61">
        <v>2</v>
      </c>
      <c r="AI61">
        <v>60564100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ROW(Source!A32)</f>
        <v>32</v>
      </c>
      <c r="B62">
        <v>60564101</v>
      </c>
      <c r="C62">
        <v>60564081</v>
      </c>
      <c r="D62">
        <v>44885720</v>
      </c>
      <c r="E62">
        <v>1</v>
      </c>
      <c r="F62">
        <v>1</v>
      </c>
      <c r="G62">
        <v>1</v>
      </c>
      <c r="H62">
        <v>3</v>
      </c>
      <c r="I62" t="s">
        <v>264</v>
      </c>
      <c r="J62" t="s">
        <v>265</v>
      </c>
      <c r="K62" t="s">
        <v>266</v>
      </c>
      <c r="L62">
        <v>1348</v>
      </c>
      <c r="N62">
        <v>1009</v>
      </c>
      <c r="O62" t="s">
        <v>32</v>
      </c>
      <c r="P62" t="s">
        <v>32</v>
      </c>
      <c r="Q62">
        <v>1000</v>
      </c>
      <c r="X62">
        <v>1.0000000000000001E-5</v>
      </c>
      <c r="Y62">
        <v>11978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 t="s">
        <v>81</v>
      </c>
      <c r="AG62">
        <v>0</v>
      </c>
      <c r="AH62">
        <v>2</v>
      </c>
      <c r="AI62">
        <v>60564101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ROW(Source!A32)</f>
        <v>32</v>
      </c>
      <c r="B63">
        <v>60564102</v>
      </c>
      <c r="C63">
        <v>60564081</v>
      </c>
      <c r="D63">
        <v>44886816</v>
      </c>
      <c r="E63">
        <v>1</v>
      </c>
      <c r="F63">
        <v>1</v>
      </c>
      <c r="G63">
        <v>1</v>
      </c>
      <c r="H63">
        <v>3</v>
      </c>
      <c r="I63" t="s">
        <v>267</v>
      </c>
      <c r="J63" t="s">
        <v>268</v>
      </c>
      <c r="K63" t="s">
        <v>269</v>
      </c>
      <c r="L63">
        <v>1348</v>
      </c>
      <c r="N63">
        <v>1009</v>
      </c>
      <c r="O63" t="s">
        <v>32</v>
      </c>
      <c r="P63" t="s">
        <v>32</v>
      </c>
      <c r="Q63">
        <v>1000</v>
      </c>
      <c r="X63">
        <v>1E-4</v>
      </c>
      <c r="Y63">
        <v>37900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 t="s">
        <v>81</v>
      </c>
      <c r="AG63">
        <v>0</v>
      </c>
      <c r="AH63">
        <v>2</v>
      </c>
      <c r="AI63">
        <v>60564102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ROW(Source!A32)</f>
        <v>32</v>
      </c>
      <c r="B64">
        <v>60564103</v>
      </c>
      <c r="C64">
        <v>60564081</v>
      </c>
      <c r="D64">
        <v>44894001</v>
      </c>
      <c r="E64">
        <v>1</v>
      </c>
      <c r="F64">
        <v>1</v>
      </c>
      <c r="G64">
        <v>1</v>
      </c>
      <c r="H64">
        <v>3</v>
      </c>
      <c r="I64" t="s">
        <v>341</v>
      </c>
      <c r="J64" t="s">
        <v>342</v>
      </c>
      <c r="K64" t="s">
        <v>343</v>
      </c>
      <c r="L64">
        <v>1339</v>
      </c>
      <c r="N64">
        <v>1007</v>
      </c>
      <c r="O64" t="s">
        <v>219</v>
      </c>
      <c r="P64" t="s">
        <v>219</v>
      </c>
      <c r="Q64">
        <v>1</v>
      </c>
      <c r="X64">
        <v>0.02</v>
      </c>
      <c r="Y64">
        <v>1410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0</v>
      </c>
      <c r="AF64" t="s">
        <v>81</v>
      </c>
      <c r="AG64">
        <v>0</v>
      </c>
      <c r="AH64">
        <v>2</v>
      </c>
      <c r="AI64">
        <v>60564103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ROW(Source!A32)</f>
        <v>32</v>
      </c>
      <c r="B65">
        <v>60564104</v>
      </c>
      <c r="C65">
        <v>60564081</v>
      </c>
      <c r="D65">
        <v>44900368</v>
      </c>
      <c r="E65">
        <v>1</v>
      </c>
      <c r="F65">
        <v>1</v>
      </c>
      <c r="G65">
        <v>1</v>
      </c>
      <c r="H65">
        <v>3</v>
      </c>
      <c r="I65" t="s">
        <v>270</v>
      </c>
      <c r="J65" t="s">
        <v>271</v>
      </c>
      <c r="K65" t="s">
        <v>272</v>
      </c>
      <c r="L65">
        <v>1348</v>
      </c>
      <c r="N65">
        <v>1009</v>
      </c>
      <c r="O65" t="s">
        <v>32</v>
      </c>
      <c r="P65" t="s">
        <v>32</v>
      </c>
      <c r="Q65">
        <v>1000</v>
      </c>
      <c r="X65">
        <v>3.5999999999999997E-2</v>
      </c>
      <c r="Y65">
        <v>7712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 t="s">
        <v>81</v>
      </c>
      <c r="AG65">
        <v>0</v>
      </c>
      <c r="AH65">
        <v>2</v>
      </c>
      <c r="AI65">
        <v>60564104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ROW(Source!A32)</f>
        <v>32</v>
      </c>
      <c r="B66">
        <v>60564105</v>
      </c>
      <c r="C66">
        <v>60564081</v>
      </c>
      <c r="D66">
        <v>44872833</v>
      </c>
      <c r="E66">
        <v>70</v>
      </c>
      <c r="F66">
        <v>1</v>
      </c>
      <c r="G66">
        <v>1</v>
      </c>
      <c r="H66">
        <v>3</v>
      </c>
      <c r="I66" t="s">
        <v>43</v>
      </c>
      <c r="J66" t="s">
        <v>3</v>
      </c>
      <c r="K66" t="s">
        <v>44</v>
      </c>
      <c r="L66">
        <v>1348</v>
      </c>
      <c r="N66">
        <v>1009</v>
      </c>
      <c r="O66" t="s">
        <v>32</v>
      </c>
      <c r="P66" t="s">
        <v>32</v>
      </c>
      <c r="Q66">
        <v>1000</v>
      </c>
      <c r="X66">
        <v>1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 t="s">
        <v>81</v>
      </c>
      <c r="AG66">
        <v>0</v>
      </c>
      <c r="AH66">
        <v>2</v>
      </c>
      <c r="AI66">
        <v>60564105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ROW(Source!A32)</f>
        <v>32</v>
      </c>
      <c r="B67">
        <v>60564106</v>
      </c>
      <c r="C67">
        <v>60564081</v>
      </c>
      <c r="D67">
        <v>44902465</v>
      </c>
      <c r="E67">
        <v>1</v>
      </c>
      <c r="F67">
        <v>1</v>
      </c>
      <c r="G67">
        <v>1</v>
      </c>
      <c r="H67">
        <v>3</v>
      </c>
      <c r="I67" t="s">
        <v>273</v>
      </c>
      <c r="J67" t="s">
        <v>274</v>
      </c>
      <c r="K67" t="s">
        <v>275</v>
      </c>
      <c r="L67">
        <v>1302</v>
      </c>
      <c r="N67">
        <v>1003</v>
      </c>
      <c r="O67" t="s">
        <v>276</v>
      </c>
      <c r="P67" t="s">
        <v>276</v>
      </c>
      <c r="Q67">
        <v>10</v>
      </c>
      <c r="X67">
        <v>1.8700000000000001E-2</v>
      </c>
      <c r="Y67">
        <v>50.24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 t="s">
        <v>81</v>
      </c>
      <c r="AG67">
        <v>0</v>
      </c>
      <c r="AH67">
        <v>2</v>
      </c>
      <c r="AI67">
        <v>60564106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ROW(Source!A32)</f>
        <v>32</v>
      </c>
      <c r="B68">
        <v>60564107</v>
      </c>
      <c r="C68">
        <v>60564081</v>
      </c>
      <c r="D68">
        <v>44902820</v>
      </c>
      <c r="E68">
        <v>1</v>
      </c>
      <c r="F68">
        <v>1</v>
      </c>
      <c r="G68">
        <v>1</v>
      </c>
      <c r="H68">
        <v>3</v>
      </c>
      <c r="I68" t="s">
        <v>277</v>
      </c>
      <c r="J68" t="s">
        <v>278</v>
      </c>
      <c r="K68" t="s">
        <v>279</v>
      </c>
      <c r="L68">
        <v>1348</v>
      </c>
      <c r="N68">
        <v>1009</v>
      </c>
      <c r="O68" t="s">
        <v>32</v>
      </c>
      <c r="P68" t="s">
        <v>32</v>
      </c>
      <c r="Q68">
        <v>1000</v>
      </c>
      <c r="X68">
        <v>3.0000000000000001E-5</v>
      </c>
      <c r="Y68">
        <v>4455.2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 t="s">
        <v>81</v>
      </c>
      <c r="AG68">
        <v>0</v>
      </c>
      <c r="AH68">
        <v>2</v>
      </c>
      <c r="AI68">
        <v>60564107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ROW(Source!A32)</f>
        <v>32</v>
      </c>
      <c r="B69">
        <v>60564108</v>
      </c>
      <c r="C69">
        <v>60564081</v>
      </c>
      <c r="D69">
        <v>44903543</v>
      </c>
      <c r="E69">
        <v>1</v>
      </c>
      <c r="F69">
        <v>1</v>
      </c>
      <c r="G69">
        <v>1</v>
      </c>
      <c r="H69">
        <v>3</v>
      </c>
      <c r="I69" t="s">
        <v>280</v>
      </c>
      <c r="J69" t="s">
        <v>281</v>
      </c>
      <c r="K69" t="s">
        <v>282</v>
      </c>
      <c r="L69">
        <v>1348</v>
      </c>
      <c r="N69">
        <v>1009</v>
      </c>
      <c r="O69" t="s">
        <v>32</v>
      </c>
      <c r="P69" t="s">
        <v>32</v>
      </c>
      <c r="Q69">
        <v>1000</v>
      </c>
      <c r="X69">
        <v>1.9400000000000001E-3</v>
      </c>
      <c r="Y69">
        <v>4920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 t="s">
        <v>81</v>
      </c>
      <c r="AG69">
        <v>0</v>
      </c>
      <c r="AH69">
        <v>2</v>
      </c>
      <c r="AI69">
        <v>60564108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ROW(Source!A32)</f>
        <v>32</v>
      </c>
      <c r="B70">
        <v>60564109</v>
      </c>
      <c r="C70">
        <v>60564081</v>
      </c>
      <c r="D70">
        <v>44906806</v>
      </c>
      <c r="E70">
        <v>1</v>
      </c>
      <c r="F70">
        <v>1</v>
      </c>
      <c r="G70">
        <v>1</v>
      </c>
      <c r="H70">
        <v>3</v>
      </c>
      <c r="I70" t="s">
        <v>283</v>
      </c>
      <c r="J70" t="s">
        <v>284</v>
      </c>
      <c r="K70" t="s">
        <v>285</v>
      </c>
      <c r="L70">
        <v>1339</v>
      </c>
      <c r="N70">
        <v>1007</v>
      </c>
      <c r="O70" t="s">
        <v>219</v>
      </c>
      <c r="P70" t="s">
        <v>219</v>
      </c>
      <c r="Q70">
        <v>1</v>
      </c>
      <c r="X70">
        <v>1E-3</v>
      </c>
      <c r="Y70">
        <v>1700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 t="s">
        <v>81</v>
      </c>
      <c r="AG70">
        <v>0</v>
      </c>
      <c r="AH70">
        <v>2</v>
      </c>
      <c r="AI70">
        <v>60564109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ROW(Source!A32)</f>
        <v>32</v>
      </c>
      <c r="B71">
        <v>60564110</v>
      </c>
      <c r="C71">
        <v>60564081</v>
      </c>
      <c r="D71">
        <v>44914424</v>
      </c>
      <c r="E71">
        <v>1</v>
      </c>
      <c r="F71">
        <v>1</v>
      </c>
      <c r="G71">
        <v>1</v>
      </c>
      <c r="H71">
        <v>3</v>
      </c>
      <c r="I71" t="s">
        <v>286</v>
      </c>
      <c r="J71" t="s">
        <v>287</v>
      </c>
      <c r="K71" t="s">
        <v>288</v>
      </c>
      <c r="L71">
        <v>1348</v>
      </c>
      <c r="N71">
        <v>1009</v>
      </c>
      <c r="O71" t="s">
        <v>32</v>
      </c>
      <c r="P71" t="s">
        <v>32</v>
      </c>
      <c r="Q71">
        <v>1000</v>
      </c>
      <c r="X71">
        <v>3.1E-4</v>
      </c>
      <c r="Y71">
        <v>15620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0</v>
      </c>
      <c r="AF71" t="s">
        <v>81</v>
      </c>
      <c r="AG71">
        <v>0</v>
      </c>
      <c r="AH71">
        <v>2</v>
      </c>
      <c r="AI71">
        <v>60564110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ROW(Source!A32)</f>
        <v>32</v>
      </c>
      <c r="B72">
        <v>60564111</v>
      </c>
      <c r="C72">
        <v>60564081</v>
      </c>
      <c r="D72">
        <v>44915537</v>
      </c>
      <c r="E72">
        <v>1</v>
      </c>
      <c r="F72">
        <v>1</v>
      </c>
      <c r="G72">
        <v>1</v>
      </c>
      <c r="H72">
        <v>3</v>
      </c>
      <c r="I72" t="s">
        <v>289</v>
      </c>
      <c r="J72" t="s">
        <v>290</v>
      </c>
      <c r="K72" t="s">
        <v>291</v>
      </c>
      <c r="L72">
        <v>1346</v>
      </c>
      <c r="N72">
        <v>1009</v>
      </c>
      <c r="O72" t="s">
        <v>257</v>
      </c>
      <c r="P72" t="s">
        <v>257</v>
      </c>
      <c r="Q72">
        <v>1</v>
      </c>
      <c r="X72">
        <v>0.6</v>
      </c>
      <c r="Y72">
        <v>9.42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 t="s">
        <v>81</v>
      </c>
      <c r="AG72">
        <v>0</v>
      </c>
      <c r="AH72">
        <v>2</v>
      </c>
      <c r="AI72">
        <v>60564111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ROW(Source!A32)</f>
        <v>32</v>
      </c>
      <c r="B73">
        <v>60564112</v>
      </c>
      <c r="C73">
        <v>60564081</v>
      </c>
      <c r="D73">
        <v>44945922</v>
      </c>
      <c r="E73">
        <v>1</v>
      </c>
      <c r="F73">
        <v>1</v>
      </c>
      <c r="G73">
        <v>1</v>
      </c>
      <c r="H73">
        <v>3</v>
      </c>
      <c r="I73" t="s">
        <v>344</v>
      </c>
      <c r="J73" t="s">
        <v>345</v>
      </c>
      <c r="K73" t="s">
        <v>346</v>
      </c>
      <c r="L73">
        <v>1371</v>
      </c>
      <c r="N73">
        <v>1013</v>
      </c>
      <c r="O73" t="s">
        <v>63</v>
      </c>
      <c r="P73" t="s">
        <v>63</v>
      </c>
      <c r="Q73">
        <v>1</v>
      </c>
      <c r="X73">
        <v>0.19</v>
      </c>
      <c r="Y73">
        <v>68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 t="s">
        <v>81</v>
      </c>
      <c r="AG73">
        <v>0</v>
      </c>
      <c r="AH73">
        <v>2</v>
      </c>
      <c r="AI73">
        <v>60564112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26</v>
      </c>
      <c r="B1">
        <v>1</v>
      </c>
      <c r="C1" t="s">
        <v>3</v>
      </c>
      <c r="D1" t="s">
        <v>35</v>
      </c>
      <c r="E1" t="s">
        <v>36</v>
      </c>
      <c r="F1" t="s">
        <v>36</v>
      </c>
      <c r="G1" t="s">
        <v>36</v>
      </c>
      <c r="H1" t="s">
        <v>3</v>
      </c>
      <c r="I1" t="s">
        <v>36</v>
      </c>
      <c r="J1" t="s">
        <v>36</v>
      </c>
      <c r="K1" t="s">
        <v>3</v>
      </c>
      <c r="L1" t="s">
        <v>3</v>
      </c>
      <c r="M1" t="s">
        <v>3</v>
      </c>
      <c r="N1" t="s">
        <v>45</v>
      </c>
      <c r="O1" t="s">
        <v>232</v>
      </c>
      <c r="P1" t="s">
        <v>3</v>
      </c>
      <c r="Q1" t="s">
        <v>3</v>
      </c>
      <c r="R1" t="s">
        <v>3</v>
      </c>
      <c r="S1" t="s">
        <v>347</v>
      </c>
      <c r="T1" t="s">
        <v>348</v>
      </c>
      <c r="U1" t="s">
        <v>349</v>
      </c>
    </row>
    <row r="2" spans="1:21" x14ac:dyDescent="0.2">
      <c r="A2">
        <v>30</v>
      </c>
      <c r="B2">
        <v>1</v>
      </c>
      <c r="C2" t="s">
        <v>3</v>
      </c>
      <c r="D2" t="s">
        <v>35</v>
      </c>
      <c r="E2" t="s">
        <v>66</v>
      </c>
      <c r="F2" t="s">
        <v>66</v>
      </c>
      <c r="G2" t="s">
        <v>66</v>
      </c>
      <c r="H2" t="s">
        <v>3</v>
      </c>
      <c r="I2" t="s">
        <v>66</v>
      </c>
      <c r="J2" t="s">
        <v>66</v>
      </c>
      <c r="K2" t="s">
        <v>3</v>
      </c>
      <c r="L2" t="s">
        <v>3</v>
      </c>
      <c r="M2" t="s">
        <v>3</v>
      </c>
      <c r="N2" t="s">
        <v>45</v>
      </c>
      <c r="O2" t="s">
        <v>294</v>
      </c>
      <c r="P2" t="s">
        <v>3</v>
      </c>
      <c r="Q2" t="s">
        <v>3</v>
      </c>
      <c r="R2" t="s">
        <v>3</v>
      </c>
      <c r="S2" t="s">
        <v>350</v>
      </c>
      <c r="T2" t="s">
        <v>351</v>
      </c>
      <c r="U2" t="s">
        <v>349</v>
      </c>
    </row>
    <row r="3" spans="1:21" x14ac:dyDescent="0.2">
      <c r="A3">
        <v>32</v>
      </c>
      <c r="B3">
        <v>1</v>
      </c>
      <c r="C3" t="s">
        <v>3</v>
      </c>
      <c r="D3" t="s">
        <v>35</v>
      </c>
      <c r="E3" t="s">
        <v>36</v>
      </c>
      <c r="F3" t="s">
        <v>36</v>
      </c>
      <c r="G3" t="s">
        <v>36</v>
      </c>
      <c r="H3" t="s">
        <v>3</v>
      </c>
      <c r="I3" t="s">
        <v>36</v>
      </c>
      <c r="J3" t="s">
        <v>36</v>
      </c>
      <c r="K3" t="s">
        <v>3</v>
      </c>
      <c r="L3" t="s">
        <v>3</v>
      </c>
      <c r="M3" t="s">
        <v>3</v>
      </c>
      <c r="N3" t="s">
        <v>45</v>
      </c>
      <c r="O3" t="s">
        <v>232</v>
      </c>
      <c r="P3" t="s">
        <v>3</v>
      </c>
      <c r="Q3" t="s">
        <v>3</v>
      </c>
      <c r="R3" t="s">
        <v>3</v>
      </c>
      <c r="S3" t="s">
        <v>347</v>
      </c>
      <c r="T3" t="s">
        <v>348</v>
      </c>
      <c r="U3" t="s">
        <v>349</v>
      </c>
    </row>
    <row r="4" spans="1:21" x14ac:dyDescent="0.2">
      <c r="A4">
        <v>32</v>
      </c>
      <c r="B4">
        <v>1</v>
      </c>
      <c r="C4" t="s">
        <v>3</v>
      </c>
      <c r="D4" t="s">
        <v>352</v>
      </c>
      <c r="E4" t="s">
        <v>352</v>
      </c>
      <c r="F4" t="s">
        <v>352</v>
      </c>
      <c r="G4" t="s">
        <v>352</v>
      </c>
      <c r="H4" t="s">
        <v>3</v>
      </c>
      <c r="I4" t="s">
        <v>352</v>
      </c>
      <c r="J4" t="s">
        <v>352</v>
      </c>
      <c r="K4" t="s">
        <v>3</v>
      </c>
      <c r="L4" t="s">
        <v>3</v>
      </c>
      <c r="M4" t="s">
        <v>3</v>
      </c>
      <c r="N4" t="s">
        <v>352</v>
      </c>
      <c r="O4" t="s">
        <v>352</v>
      </c>
      <c r="P4" t="s">
        <v>3</v>
      </c>
      <c r="Q4" t="s">
        <v>3</v>
      </c>
      <c r="R4" t="s">
        <v>3</v>
      </c>
      <c r="S4" t="s">
        <v>353</v>
      </c>
      <c r="T4" t="s">
        <v>354</v>
      </c>
      <c r="U4" t="s">
        <v>355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16987</v>
      </c>
      <c r="M1">
        <v>28058709</v>
      </c>
      <c r="N1">
        <v>11</v>
      </c>
      <c r="O1">
        <v>15</v>
      </c>
      <c r="P1">
        <v>0</v>
      </c>
      <c r="Q1">
        <v>2</v>
      </c>
    </row>
    <row r="12" spans="1:103" x14ac:dyDescent="0.2">
      <c r="F12" t="str">
        <f>Source!F12</f>
        <v>Новый объект</v>
      </c>
      <c r="G12" t="str">
        <f>Source!G12</f>
        <v>Вод башня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Смета по ФЕР 421+557пр (12</vt:lpstr>
      <vt:lpstr>Source</vt:lpstr>
      <vt:lpstr>SourceObSm</vt:lpstr>
      <vt:lpstr>SmtRes</vt:lpstr>
      <vt:lpstr>EtalonRes</vt:lpstr>
      <vt:lpstr>SrcPoprs</vt:lpstr>
      <vt:lpstr>SrcKA</vt:lpstr>
      <vt:lpstr>'Смета по ФЕР 421+557пр (12'!Заголовки_для_печати</vt:lpstr>
      <vt:lpstr>'Смета по ФЕР 421+557пр (12'!Область_печати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2026-02-20T08:37:56Z</dcterms:created>
  <dcterms:modified xsi:type="dcterms:W3CDTF">2026-09-07T06:27:50Z</dcterms:modified>
</cp:coreProperties>
</file>