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9b\OneDrive\Рабочий стол\МУП\ЗАКУПКИ 2027\Закупка Нива\"/>
    </mc:Choice>
  </mc:AlternateContent>
  <bookViews>
    <workbookView xWindow="0" yWindow="0" windowWidth="20490" windowHeight="7620"/>
  </bookViews>
  <sheets>
    <sheet name="Расчет цены" sheetId="1" r:id="rId1"/>
  </sheets>
  <calcPr calcId="162913" refMode="R1C1"/>
</workbook>
</file>

<file path=xl/calcChain.xml><?xml version="1.0" encoding="utf-8"?>
<calcChain xmlns="http://schemas.openxmlformats.org/spreadsheetml/2006/main">
  <c r="O12" i="1" l="1"/>
  <c r="P12" i="1" s="1"/>
  <c r="Q12" i="1" s="1"/>
  <c r="R12" i="1" s="1"/>
  <c r="R13" i="1" s="1"/>
  <c r="E15" i="1" s="1"/>
  <c r="L12" i="1"/>
  <c r="M12" i="1" s="1"/>
  <c r="N12" i="1" s="1"/>
</calcChain>
</file>

<file path=xl/comments1.xml><?xml version="1.0" encoding="utf-8"?>
<comments xmlns="http://schemas.openxmlformats.org/spreadsheetml/2006/main">
  <authors>
    <author>tc={4E0F3F48-0C99-456B-BAD6-EFB461C094B8}</author>
    <author>tc={B3C286AC-585C-46A1-944C-226032F52429}</author>
    <author>tc={26A0208E-AA58-4A81-8A15-AB82E9A2BED4}</author>
  </authors>
  <commentList>
    <comment ref="E12" authorId="0" shapeId="0">
      <text>
        <r>
          <rPr>
            <sz val="11"/>
            <color indexed="8"/>
            <rFont val="Calibri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ПАО «ЛК «Европлан». КП № 4473638-ОППД4-2026 от 16.10.2026, стр. 1. Файл: КП к договору AA0111619830 Lada Niva Travel 46% на 24 мес 16.10.2026 (2).pdf. Взята указанная в КП сумма договора лизинга со скидкой с НДС — 1 815 629 руб.; без самостоятельного добавления отдельно обозначенных платежей.</t>
        </r>
      </text>
    </comment>
    <comment ref="F12" authorId="1" shapeId="0">
      <text>
        <r>
          <rPr>
            <sz val="11"/>
            <color indexed="8"/>
            <rFont val="Calibri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АО «Сбербанк Лизинг». Предложение от 19.10.2026, ID Z26-2177787, стр. 1. Файл: КП МУП_УСТЬ-КУРДЮМ_ВОДОКАНАЛ_LADA_45,90__24_Аукцион.pdf. Сумма договора лизинга — 1 894 686,31 руб., с НДС. ОСАГО: плательщик — лизингополучатель, премия по запросу.</t>
        </r>
      </text>
    </comment>
    <comment ref="G12" authorId="2" shapeId="0">
      <text>
        <r>
          <rPr>
            <sz val="11"/>
            <color indexed="8"/>
            <rFont val="Calibri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Интерлизинг. КП № ЛЗ-537407/1 от 19.10.2026, стр. 1. Файл: КП Интерлизинг Аванс 45,9016 Срок 24 Равномерный ЛЗ-537407-001.pdf. Стоимость лизинга с дополнительными услугами — 2 108 477,68 руб., включая аванс 700 000 руб. и 24 платежа по 58 686,57 руб.</t>
        </r>
      </text>
    </comment>
  </commentList>
</comments>
</file>

<file path=xl/sharedStrings.xml><?xml version="1.0" encoding="utf-8"?>
<sst xmlns="http://schemas.openxmlformats.org/spreadsheetml/2006/main" count="38" uniqueCount="36">
  <si>
    <t>РАЗДЕЛ V. ОБОСНОВАНИЕ НАЧАЛЬНОЙ (МАКСИМАЛЬНОЙ) ЦЕНЫ ДОГОВОРА</t>
  </si>
  <si>
    <t>Обоснование начальной (максимальной) цены договора (Н(М)ЦД)</t>
  </si>
  <si>
    <t>Наименование объекта закупки: оказание услуг финансовой аренды (лизинга) автомобиля LADA Niva Travel «Комфорт» 1.8 (90 л. с.), 2026 года выпуска, или эквивалента для нужд МУП «Усть-Курдюм Водоканал».</t>
  </si>
  <si>
    <t>Условия расчёта: 1 автомобиль; срок лизинга — 24 месяца; авансовый платёж — 700 000,00 руб.</t>
  </si>
  <si>
    <t>Расчёт Н(М)ЦД методом сопоставимых рыночных цен (анализа рынка):</t>
  </si>
  <si>
    <t>№
п/п</t>
  </si>
  <si>
    <t>Наименование объекта закупки</t>
  </si>
  <si>
    <t>Ед. изм</t>
  </si>
  <si>
    <t>Кол-во</t>
  </si>
  <si>
    <t>Источники информации (руб./усл. ед., с НДС)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</si>
  <si>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</si>
  <si>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</si>
  <si>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Н(М)ЦД</t>
  </si>
  <si>
    <t>Н(М)ЦД,  определяемая методом сопоставимых рыночных цен (анализа рынка)*</t>
  </si>
  <si>
    <t xml:space="preserve">Номер сведений о контракте №___ от </t>
  </si>
  <si>
    <t>Средняя арифметическая цена за единицу, Цср
Цср = ΣЦi / n</t>
  </si>
  <si>
    <t>Среднее квадратичное отклонение, σ
σ = √[Σ(Цi − Цср)² / (n − 1)]</t>
  </si>
  <si>
    <t>Коэффициент вариации цен V (%)
(не должен превышать 33%)
V = σ / Цср × 100%</t>
  </si>
  <si>
    <t>Расчёт Н(М)ЦД по формуле
Н(М)ЦД = v / n × ΣЦi
v — количество (объём) закупаемой услуги;
n — число цен;
Цi — цена единицы по i-му источнику</t>
  </si>
  <si>
    <t>Цена за единицу измерения (руб.)</t>
  </si>
  <si>
    <t>Цена за единицу измерения с округлением (вниз) до сотых долей после запятой (руб.)</t>
  </si>
  <si>
    <t>Н(М)ЦД договора с учётом округления цены за единицу (руб.)</t>
  </si>
  <si>
    <t>Оказание услуг финансовой аренды (лизинга) автомобиля LADA Niva Travel «Комфорт» 1.8, 2026 года выпуска, или эквивалента для нужд МУП «Усть-Курдюм Водоканал»</t>
  </si>
  <si>
    <t>усл. ед.</t>
  </si>
  <si>
    <t>Итого:</t>
  </si>
  <si>
    <t>В результате проведённого расчёта Н(М)ЦД составила:</t>
  </si>
  <si>
    <t>руб., с НДС</t>
  </si>
  <si>
    <t>Составила:
Специалист по закупкам ________________________ О. В. Дерябина</t>
  </si>
  <si>
    <t>Способ закупки: конкурентная закупка в электронной форме в соответствии с Положением о закупке и Федеральным законом № 223-ФЗ — редукцион.</t>
  </si>
  <si>
    <t>Директор ______________________________________________ А. Ф. Чистяков</t>
  </si>
  <si>
    <t>Дата подготовки обоснования: 27.10.2026 г.</t>
  </si>
  <si>
    <t>Предложение № 1
ПАО «ЛК «Европлан»
КП № 4473638-ОППД4-2026
от 27.10.2026</t>
  </si>
  <si>
    <t>Предложение № 2
ООО «Альфамобиль»
КП от 27.10.2026</t>
  </si>
  <si>
    <t>Предложение № 3
«Интерлизинг»
КП № ЛЗ-537407/1
от 19.10.2026
уточнение от 23.10.2026</t>
  </si>
  <si>
    <t>Коэффициент вариации цен: 2,17% не превышает 33%. Совокупность цен считается однородной.</t>
  </si>
  <si>
    <t>Примечание. Для обоснования Н(М)ЦД приняты заявленные суммарные цены трёх коммерческих предложений с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</si>
</sst>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\-??_р_._-;_-@_-"/>
  </numFmts>
  <fonts count="28" x14ac:knownFonts="1">
    <font>
      <sz val="11"/>
      <color indexed="8"/>
      <name val="Calibri"/>
    </font>
    <font>
      <sz val="11"/>
      <color indexed="9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10"/>
      <name val="Calibri"/>
    </font>
    <font>
      <sz val="11"/>
      <color indexed="17"/>
      <name val="Calibri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Calibri"/>
    </font>
    <font>
      <sz val="12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9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164" fontId="19" fillId="0" borderId="0" applyFill="0" applyBorder="0" applyAlignment="0" applyProtection="0"/>
    <xf numFmtId="0" fontId="16" fillId="3" borderId="0" applyNumberFormat="0" applyBorder="0" applyAlignment="0" applyProtection="0"/>
  </cellStyleXfs>
  <cellXfs count="58">
    <xf numFmtId="0" fontId="0" fillId="0" borderId="0" xfId="0"/>
    <xf numFmtId="0" fontId="17" fillId="0" borderId="0" xfId="0" applyFont="1"/>
    <xf numFmtId="0" fontId="17" fillId="0" borderId="0" xfId="0" applyFont="1" applyFill="1"/>
    <xf numFmtId="164" fontId="17" fillId="0" borderId="0" xfId="23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top"/>
    </xf>
    <xf numFmtId="164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0" xfId="0" applyFont="1"/>
    <xf numFmtId="164" fontId="18" fillId="0" borderId="0" xfId="23" applyFont="1" applyFill="1" applyBorder="1" applyAlignment="1">
      <alignment horizontal="center" vertical="center"/>
    </xf>
    <xf numFmtId="0" fontId="20" fillId="15" borderId="0" xfId="0" applyNumberFormat="1" applyFont="1" applyFill="1" applyBorder="1" applyAlignment="1">
      <alignment horizontal="center" vertical="center" wrapText="1"/>
    </xf>
    <xf numFmtId="0" fontId="22" fillId="15" borderId="0" xfId="0" applyNumberFormat="1" applyFont="1" applyFill="1" applyBorder="1" applyAlignment="1">
      <alignment horizontal="center" vertical="top" wrapText="1"/>
    </xf>
    <xf numFmtId="0" fontId="24" fillId="15" borderId="0" xfId="0" applyNumberFormat="1" applyFont="1" applyFill="1" applyBorder="1" applyAlignment="1">
      <alignment horizontal="justify" wrapText="1"/>
    </xf>
    <xf numFmtId="0" fontId="23" fillId="15" borderId="0" xfId="0" applyNumberFormat="1" applyFont="1" applyFill="1" applyBorder="1" applyAlignment="1">
      <alignment horizontal="center" vertical="center" wrapText="1"/>
    </xf>
    <xf numFmtId="2" fontId="20" fillId="15" borderId="0" xfId="0" applyNumberFormat="1" applyFont="1" applyFill="1" applyBorder="1" applyAlignment="1">
      <alignment horizontal="center" vertical="center" wrapText="1"/>
    </xf>
    <xf numFmtId="2" fontId="23" fillId="15" borderId="0" xfId="0" applyNumberFormat="1" applyFont="1" applyFill="1" applyBorder="1" applyAlignment="1">
      <alignment horizontal="center" vertical="center" wrapText="1"/>
    </xf>
    <xf numFmtId="2" fontId="23" fillId="15" borderId="0" xfId="0" applyNumberFormat="1" applyFont="1" applyFill="1" applyBorder="1" applyAlignment="1">
      <alignment horizontal="center" vertical="center"/>
    </xf>
    <xf numFmtId="10" fontId="23" fillId="15" borderId="0" xfId="0" applyNumberFormat="1" applyFont="1" applyFill="1" applyBorder="1" applyAlignment="1">
      <alignment horizontal="center" vertical="center"/>
    </xf>
    <xf numFmtId="0" fontId="27" fillId="15" borderId="10" xfId="0" applyNumberFormat="1" applyFont="1" applyFill="1" applyBorder="1" applyAlignment="1">
      <alignment horizontal="center" vertical="center" wrapText="1"/>
    </xf>
    <xf numFmtId="0" fontId="26" fillId="15" borderId="12" xfId="0" applyNumberFormat="1" applyFont="1" applyFill="1" applyBorder="1" applyAlignment="1">
      <alignment horizontal="center" vertical="center" wrapText="1"/>
    </xf>
    <xf numFmtId="1" fontId="24" fillId="15" borderId="12" xfId="0" applyNumberFormat="1" applyFont="1" applyFill="1" applyBorder="1" applyAlignment="1">
      <alignment horizontal="center" vertical="center" wrapText="1"/>
    </xf>
    <xf numFmtId="4" fontId="24" fillId="15" borderId="12" xfId="0" applyNumberFormat="1" applyFont="1" applyFill="1" applyBorder="1" applyAlignment="1">
      <alignment horizontal="center" vertical="center" wrapText="1"/>
    </xf>
    <xf numFmtId="0" fontId="24" fillId="15" borderId="12" xfId="0" applyNumberFormat="1" applyFont="1" applyFill="1" applyBorder="1" applyAlignment="1">
      <alignment horizontal="center" vertical="center" wrapText="1"/>
    </xf>
    <xf numFmtId="4" fontId="24" fillId="15" borderId="12" xfId="0" applyNumberFormat="1" applyFont="1" applyFill="1" applyBorder="1" applyAlignment="1">
      <alignment horizontal="center" vertical="center"/>
    </xf>
    <xf numFmtId="10" fontId="24" fillId="15" borderId="12" xfId="0" applyNumberFormat="1" applyFont="1" applyFill="1" applyBorder="1" applyAlignment="1">
      <alignment horizontal="center" vertical="center"/>
    </xf>
    <xf numFmtId="4" fontId="26" fillId="15" borderId="12" xfId="0" applyNumberFormat="1" applyFont="1" applyFill="1" applyBorder="1" applyAlignment="1">
      <alignment horizontal="center" vertical="center" wrapText="1"/>
    </xf>
    <xf numFmtId="4" fontId="26" fillId="15" borderId="11" xfId="0" applyNumberFormat="1" applyFont="1" applyFill="1" applyBorder="1" applyAlignment="1">
      <alignment horizontal="center" vertical="center" wrapText="1"/>
    </xf>
    <xf numFmtId="0" fontId="26" fillId="15" borderId="16" xfId="0" applyNumberFormat="1" applyFont="1" applyFill="1" applyBorder="1" applyAlignment="1">
      <alignment horizontal="center" vertical="center" wrapText="1"/>
    </xf>
    <xf numFmtId="0" fontId="27" fillId="15" borderId="16" xfId="0" applyNumberFormat="1" applyFont="1" applyFill="1" applyBorder="1" applyAlignment="1">
      <alignment horizontal="center" vertical="center" wrapText="1"/>
    </xf>
    <xf numFmtId="0" fontId="25" fillId="15" borderId="0" xfId="0" applyNumberFormat="1" applyFont="1" applyFill="1" applyBorder="1"/>
    <xf numFmtId="0" fontId="20" fillId="15" borderId="0" xfId="0" applyNumberFormat="1" applyFont="1" applyFill="1" applyBorder="1"/>
    <xf numFmtId="0" fontId="20" fillId="15" borderId="15" xfId="0" applyNumberFormat="1" applyFont="1" applyFill="1" applyBorder="1" applyAlignment="1">
      <alignment horizontal="left" vertical="top" wrapText="1"/>
    </xf>
    <xf numFmtId="0" fontId="20" fillId="15" borderId="0" xfId="0" applyNumberFormat="1" applyFont="1" applyFill="1" applyBorder="1" applyAlignment="1">
      <alignment horizontal="left" vertical="top" wrapText="1"/>
    </xf>
    <xf numFmtId="0" fontId="25" fillId="15" borderId="0" xfId="0" applyNumberFormat="1" applyFont="1" applyFill="1" applyBorder="1" applyAlignment="1">
      <alignment horizontal="left" vertical="center" wrapText="1"/>
    </xf>
    <xf numFmtId="0" fontId="26" fillId="15" borderId="10" xfId="0" applyNumberFormat="1" applyFont="1" applyFill="1" applyBorder="1" applyAlignment="1">
      <alignment horizontal="center" vertical="center" wrapText="1"/>
    </xf>
    <xf numFmtId="0" fontId="25" fillId="15" borderId="0" xfId="0" applyNumberFormat="1" applyFont="1" applyFill="1" applyBorder="1" applyAlignment="1">
      <alignment horizontal="left" vertical="center" wrapText="1"/>
    </xf>
    <xf numFmtId="4" fontId="25" fillId="15" borderId="0" xfId="0" applyNumberFormat="1" applyFont="1" applyFill="1" applyBorder="1" applyAlignment="1">
      <alignment horizontal="center" vertical="center" wrapText="1"/>
    </xf>
    <xf numFmtId="0" fontId="26" fillId="15" borderId="14" xfId="0" applyNumberFormat="1" applyFont="1" applyFill="1" applyBorder="1" applyAlignment="1">
      <alignment horizontal="center" vertical="center" wrapText="1"/>
    </xf>
    <xf numFmtId="0" fontId="26" fillId="15" borderId="10" xfId="0" applyNumberFormat="1" applyFont="1" applyFill="1" applyBorder="1" applyAlignment="1">
      <alignment horizontal="center" vertical="center" wrapText="1"/>
    </xf>
    <xf numFmtId="0" fontId="24" fillId="15" borderId="0" xfId="0" applyNumberFormat="1" applyFont="1" applyFill="1" applyBorder="1" applyAlignment="1">
      <alignment horizontal="left" vertical="center" wrapText="1"/>
    </xf>
    <xf numFmtId="0" fontId="25" fillId="15" borderId="0" xfId="0" applyNumberFormat="1" applyFont="1" applyFill="1" applyBorder="1"/>
    <xf numFmtId="0" fontId="23" fillId="15" borderId="0" xfId="0" applyNumberFormat="1" applyFont="1" applyFill="1" applyBorder="1" applyAlignment="1">
      <alignment horizontal="left" vertical="center" wrapText="1"/>
    </xf>
    <xf numFmtId="0" fontId="21" fillId="15" borderId="0" xfId="0" applyNumberFormat="1" applyFont="1" applyFill="1" applyBorder="1" applyAlignment="1">
      <alignment horizontal="center" vertical="center" wrapText="1"/>
    </xf>
    <xf numFmtId="0" fontId="20" fillId="15" borderId="0" xfId="0" applyNumberFormat="1" applyFont="1" applyFill="1" applyBorder="1" applyAlignment="1">
      <alignment horizontal="left" vertical="center" wrapText="1"/>
    </xf>
    <xf numFmtId="0" fontId="25" fillId="15" borderId="13" xfId="0" applyNumberFormat="1" applyFont="1" applyFill="1" applyBorder="1" applyAlignment="1">
      <alignment horizontal="left" vertical="center" wrapText="1"/>
    </xf>
    <xf numFmtId="0" fontId="26" fillId="15" borderId="17" xfId="0" applyNumberFormat="1" applyFont="1" applyFill="1" applyBorder="1" applyAlignment="1">
      <alignment horizontal="center" vertical="center" wrapText="1"/>
    </xf>
    <xf numFmtId="0" fontId="26" fillId="15" borderId="18" xfId="0" applyNumberFormat="1" applyFont="1" applyFill="1" applyBorder="1" applyAlignment="1">
      <alignment horizontal="center" vertical="center" wrapText="1"/>
    </xf>
    <xf numFmtId="0" fontId="26" fillId="15" borderId="19" xfId="0" applyNumberFormat="1" applyFont="1" applyFill="1" applyBorder="1" applyAlignment="1">
      <alignment horizontal="center" vertical="center" wrapText="1"/>
    </xf>
    <xf numFmtId="2" fontId="26" fillId="15" borderId="17" xfId="0" applyNumberFormat="1" applyFont="1" applyFill="1" applyBorder="1" applyAlignment="1">
      <alignment horizontal="center" vertical="center" wrapText="1"/>
    </xf>
    <xf numFmtId="2" fontId="26" fillId="15" borderId="18" xfId="0" applyNumberFormat="1" applyFont="1" applyFill="1" applyBorder="1" applyAlignment="1">
      <alignment horizontal="center" vertical="center" wrapText="1"/>
    </xf>
    <xf numFmtId="2" fontId="26" fillId="15" borderId="19" xfId="0" applyNumberFormat="1" applyFont="1" applyFill="1" applyBorder="1" applyAlignment="1">
      <alignment horizontal="center" vertical="center" wrapText="1"/>
    </xf>
    <xf numFmtId="0" fontId="26" fillId="15" borderId="20" xfId="0" applyNumberFormat="1" applyFont="1" applyFill="1" applyBorder="1" applyAlignment="1">
      <alignment horizontal="center" vertical="center" wrapText="1"/>
    </xf>
    <xf numFmtId="0" fontId="26" fillId="15" borderId="21" xfId="0" applyNumberFormat="1" applyFont="1" applyFill="1" applyBorder="1" applyAlignment="1">
      <alignment horizontal="center" vertical="center" wrapText="1"/>
    </xf>
    <xf numFmtId="0" fontId="26" fillId="15" borderId="22" xfId="0" applyNumberFormat="1" applyFont="1" applyFill="1" applyBorder="1" applyAlignment="1">
      <alignment horizontal="center" vertical="center" wrapText="1"/>
    </xf>
    <xf numFmtId="0" fontId="20" fillId="15" borderId="15" xfId="0" applyNumberFormat="1" applyFont="1" applyFill="1" applyBorder="1" applyAlignment="1">
      <alignment horizontal="left" vertical="top" wrapText="1"/>
    </xf>
    <xf numFmtId="0" fontId="26" fillId="15" borderId="23" xfId="0" applyNumberFormat="1" applyFont="1" applyFill="1" applyBorder="1" applyAlignment="1">
      <alignment horizontal="center" vertical="center" wrapText="1"/>
    </xf>
    <xf numFmtId="0" fontId="26" fillId="15" borderId="24" xfId="0" applyNumberFormat="1" applyFont="1" applyFill="1" applyBorder="1" applyAlignment="1">
      <alignment horizontal="center" vertical="center" wrapText="1"/>
    </xf>
    <xf numFmtId="2" fontId="22" fillId="15" borderId="25" xfId="0" applyNumberFormat="1" applyFont="1" applyFill="1" applyBorder="1" applyAlignment="1">
      <alignment horizontal="left" vertical="center" wrapText="1"/>
    </xf>
    <xf numFmtId="2" fontId="22" fillId="15" borderId="26" xfId="0" applyNumberFormat="1" applyFont="1" applyFill="1" applyBorder="1" applyAlignment="1">
      <alignment horizontal="left" vertical="center" wrapText="1"/>
    </xf>
  </cellXfs>
  <cellStyles count="25">
    <cellStyle name="Акцент1" xfId="1"/>
    <cellStyle name="Акцент2" xfId="2"/>
    <cellStyle name="Акцент3" xfId="3"/>
    <cellStyle name="Акцент4" xfId="4"/>
    <cellStyle name="Акцент5" xfId="5"/>
    <cellStyle name="Акцент6" xfId="6"/>
    <cellStyle name="Ввод " xfId="7"/>
    <cellStyle name="Вывод" xfId="8"/>
    <cellStyle name="Вычисление" xfId="9"/>
    <cellStyle name="Заголовок 1" xfId="10"/>
    <cellStyle name="Заголовок 2" xfId="11"/>
    <cellStyle name="Заголовок 3" xfId="12"/>
    <cellStyle name="Заголовок 4" xfId="13"/>
    <cellStyle name="Итог" xfId="14"/>
    <cellStyle name="Контрольная ячейка" xfId="15"/>
    <cellStyle name="Название" xfId="16"/>
    <cellStyle name="Нейтральный" xfId="17"/>
    <cellStyle name="Обычный" xfId="0" builtinId="0"/>
    <cellStyle name="Плохой" xfId="18"/>
    <cellStyle name="Пояснение" xfId="19"/>
    <cellStyle name="Примечание" xfId="20"/>
    <cellStyle name="Связанная ячейка" xfId="21"/>
    <cellStyle name="Текст предупреждения" xfId="22"/>
    <cellStyle name="Финансовый" xfId="23"/>
    <cellStyle name="Хороший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b0adcca3fee6409d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257175</xdr:colOff>
      <xdr:row>23</xdr:row>
      <xdr:rowOff>66675</xdr:rowOff>
    </xdr:to>
    <xdr:sp macro="" textlink="">
      <xdr:nvSpPr>
        <xdr:cNvPr id="1028" name="Text Box 4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Источники расчёта" id="{7CB2EBA7-5147-43AF-8C0F-13CD4A810170}"/>
</xltc: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.xml><?xml version="1.0" encoding="utf-8"?>
<xltc:ThreadedComments xmlns:xltc="http://schemas.microsoft.com/office/spreadsheetml/2018/threadedcomments">
  <xltc:threadedComment ref="E12" dT="2026-10-21T07:19:33.193" personId="{7CB2EBA7-5147-43AF-8C0F-13CD4A810170}" id="{4E0F3F48-0C99-456B-BAD6-EFB461C094B8}">
    <xltc:text>ПАО «ЛК «Европлан». КП № 4473638-ОППД4-2026 от 16.10.2026, стр. 1. Файл: КП к договору AA0111619830 Lada Niva Travel 46% на 24 мес 16.10.2026 (2).pdf. Взята указанная в КП сумма договора лизинга со скидкой с НДС — 1 815 629 руб.; без самостоятельного добавления отдельно обозначенных платежей.</xltc:text>
  </xltc:threadedComment>
  <xltc:threadedComment ref="F12" dT="2026-10-21T07:19:33.21" personId="{7CB2EBA7-5147-43AF-8C0F-13CD4A810170}" id="{B3C286AC-585C-46A1-944C-226032F52429}">
    <xltc:text>АО «Сбербанк Лизинг». Предложение от 19.10.2026, ID Z26-2177787, стр. 1. Файл: КП МУП_УСТЬ-КУРДЮМ_ВОДОКАНАЛ_LADA_45,90__24_Аукцион.pdf. Сумма договора лизинга — 1 894 686,31 руб., с НДС. ОСАГО: плательщик — лизингополучатель, премия по запросу.</xltc:text>
  </xltc:threadedComment>
  <xltc:threadedComment ref="G12" dT="2026-10-21T07:19:33.228" personId="{7CB2EBA7-5147-43AF-8C0F-13CD4A810170}" id="{26A0208E-AA58-4A81-8A15-AB82E9A2BED4}">
    <xltc:text>Интерлизинг. КП № ЛЗ-537407/1 от 19.10.2026, стр. 1. Файл: КП Интерлизинг Аванс 45,9016 Срок 24 Равномерный ЛЗ-537407-001.pdf. Стоимость лизинга с дополнительными услугами — 2 108 477,68 руб., включая аванс 700 000 руб. и 24 платежа по 58 686,57 руб.</xltc:text>
  </xltc:threadedComment>
</xl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4ee456896e4e4fd1" Type="http://schemas.microsoft.com/office/2017/10/relationships/threadedComment" Target="../threadedcomments/threadedcomment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abSelected="1" topLeftCell="A16" workbookViewId="0">
      <selection activeCell="A21" sqref="A21:R22"/>
    </sheetView>
  </sheetViews>
  <sheetFormatPr defaultRowHeight="12.75" x14ac:dyDescent="0.2"/>
  <cols>
    <col min="1" max="1" width="5" style="1" customWidth="1"/>
    <col min="2" max="2" width="32" style="1" customWidth="1"/>
    <col min="3" max="3" width="8" style="1" customWidth="1"/>
    <col min="4" max="4" width="9" style="1" customWidth="1"/>
    <col min="5" max="7" width="13" style="1" customWidth="1"/>
    <col min="8" max="11" width="0" style="1" hidden="1" customWidth="1"/>
    <col min="12" max="12" width="16" style="1" customWidth="1"/>
    <col min="13" max="13" width="13" style="1" customWidth="1"/>
    <col min="14" max="14" width="17" style="1" customWidth="1"/>
    <col min="15" max="15" width="18" style="1" customWidth="1"/>
    <col min="16" max="16" width="12" style="1" customWidth="1"/>
    <col min="17" max="17" width="13" style="1" customWidth="1"/>
    <col min="18" max="18" width="16" style="2" customWidth="1"/>
    <col min="19" max="19" width="22.140625" style="3" customWidth="1"/>
    <col min="20" max="20" width="15.5703125" style="3" customWidth="1"/>
    <col min="21" max="21" width="13.28515625" style="1" customWidth="1"/>
    <col min="22" max="22" width="18.28515625" style="1" customWidth="1"/>
    <col min="23" max="16384" width="9.140625" style="1"/>
  </cols>
  <sheetData>
    <row r="1" spans="1:22" ht="2.2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2" ht="63" hidden="1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2" ht="52.5" hidden="1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22" ht="24.9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22" ht="24.95" customHeight="1" x14ac:dyDescent="0.2">
      <c r="A5" s="41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22" ht="39.950000000000003" customHeight="1" x14ac:dyDescent="0.2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22" ht="21.95" customHeight="1" x14ac:dyDescent="0.2">
      <c r="A7" s="34" t="s">
        <v>30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22" ht="20.100000000000001" customHeight="1" x14ac:dyDescent="0.2">
      <c r="A8" s="34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22" ht="24.95" customHeight="1" x14ac:dyDescent="0.2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22" ht="35.1" customHeight="1" x14ac:dyDescent="0.2">
      <c r="A10" s="37" t="s">
        <v>5</v>
      </c>
      <c r="B10" s="37" t="s">
        <v>6</v>
      </c>
      <c r="C10" s="37" t="s">
        <v>7</v>
      </c>
      <c r="D10" s="37" t="s">
        <v>8</v>
      </c>
      <c r="E10" s="36" t="s">
        <v>9</v>
      </c>
      <c r="F10" s="51"/>
      <c r="G10" s="52"/>
      <c r="H10" s="36" t="s">
        <v>10</v>
      </c>
      <c r="I10" s="51"/>
      <c r="J10" s="52"/>
      <c r="K10" s="44" t="s">
        <v>11</v>
      </c>
      <c r="L10" s="47" t="s">
        <v>12</v>
      </c>
      <c r="M10" s="48"/>
      <c r="N10" s="49"/>
      <c r="O10" s="44" t="s">
        <v>13</v>
      </c>
      <c r="P10" s="45"/>
      <c r="Q10" s="45"/>
      <c r="R10" s="46"/>
    </row>
    <row r="11" spans="1:22" ht="159.94999999999999" customHeight="1" x14ac:dyDescent="0.2">
      <c r="A11" s="54"/>
      <c r="B11" s="55"/>
      <c r="C11" s="54"/>
      <c r="D11" s="54"/>
      <c r="E11" s="17" t="s">
        <v>31</v>
      </c>
      <c r="F11" s="17" t="s">
        <v>32</v>
      </c>
      <c r="G11" s="17" t="s">
        <v>33</v>
      </c>
      <c r="H11" s="33" t="s">
        <v>14</v>
      </c>
      <c r="I11" s="33" t="s">
        <v>14</v>
      </c>
      <c r="J11" s="33" t="s">
        <v>14</v>
      </c>
      <c r="K11" s="50"/>
      <c r="L11" s="27" t="s">
        <v>15</v>
      </c>
      <c r="M11" s="17" t="s">
        <v>16</v>
      </c>
      <c r="N11" s="27" t="s">
        <v>17</v>
      </c>
      <c r="O11" s="27" t="s">
        <v>18</v>
      </c>
      <c r="P11" s="33" t="s">
        <v>19</v>
      </c>
      <c r="Q11" s="33" t="s">
        <v>20</v>
      </c>
      <c r="R11" s="33" t="s">
        <v>21</v>
      </c>
    </row>
    <row r="12" spans="1:22" ht="114.95" customHeight="1" x14ac:dyDescent="0.2">
      <c r="A12" s="18">
        <v>1</v>
      </c>
      <c r="B12" s="26" t="s">
        <v>22</v>
      </c>
      <c r="C12" s="18" t="s">
        <v>23</v>
      </c>
      <c r="D12" s="19">
        <v>1</v>
      </c>
      <c r="E12" s="20">
        <v>2019125</v>
      </c>
      <c r="F12" s="20">
        <v>2062275.36</v>
      </c>
      <c r="G12" s="20">
        <v>2108477.6800000002</v>
      </c>
      <c r="H12" s="21"/>
      <c r="I12" s="21"/>
      <c r="J12" s="21"/>
      <c r="K12" s="21"/>
      <c r="L12" s="20">
        <f>AVERAGE(E12:G12)</f>
        <v>2063292.6800000004</v>
      </c>
      <c r="M12" s="22">
        <f>SQRT(SUM((E12-L12)^2,(F12-L12)^2,(G12-L12)^2)/(COUNT(E12:G12)-1))</f>
        <v>44685.026136082852</v>
      </c>
      <c r="N12" s="23">
        <f>M12/L12</f>
        <v>2.1657143734006193E-2</v>
      </c>
      <c r="O12" s="20">
        <f>D12/COUNT(E12:G12)*SUM(E12:G12)</f>
        <v>2063292.6800000002</v>
      </c>
      <c r="P12" s="20">
        <f>ROUND(O12/D12,2)</f>
        <v>2063292.68</v>
      </c>
      <c r="Q12" s="20">
        <f>ROUNDDOWN(P12,2)</f>
        <v>2063292.68</v>
      </c>
      <c r="R12" s="24">
        <f>ROUND(D12*Q12,2)</f>
        <v>2063292.68</v>
      </c>
    </row>
    <row r="13" spans="1:22" s="6" customFormat="1" ht="21.95" customHeight="1" x14ac:dyDescent="0.25">
      <c r="A13" s="10"/>
      <c r="B13" s="11"/>
      <c r="C13" s="12"/>
      <c r="D13" s="9"/>
      <c r="E13" s="13"/>
      <c r="F13" s="13"/>
      <c r="G13" s="13"/>
      <c r="H13" s="14"/>
      <c r="I13" s="14"/>
      <c r="J13" s="14"/>
      <c r="K13" s="14"/>
      <c r="L13" s="14"/>
      <c r="M13" s="15"/>
      <c r="N13" s="16"/>
      <c r="O13" s="56" t="s">
        <v>24</v>
      </c>
      <c r="P13" s="56"/>
      <c r="Q13" s="57"/>
      <c r="R13" s="25">
        <f>SUM(R12)</f>
        <v>2063292.68</v>
      </c>
      <c r="S13" s="3"/>
      <c r="T13" s="3"/>
      <c r="U13" s="4"/>
      <c r="V13" s="5"/>
    </row>
    <row r="14" spans="1:22" s="31" customFormat="1" ht="32.1" customHeight="1" x14ac:dyDescent="0.25">
      <c r="A14" s="53" t="s">
        <v>34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30"/>
      <c r="T14" s="30"/>
      <c r="U14" s="30"/>
      <c r="V14" s="30"/>
    </row>
    <row r="15" spans="1:22" s="6" customFormat="1" ht="36" customHeight="1" x14ac:dyDescent="0.25">
      <c r="A15" s="31"/>
      <c r="B15" s="34" t="s">
        <v>25</v>
      </c>
      <c r="C15" s="34"/>
      <c r="D15" s="34"/>
      <c r="E15" s="35">
        <f>R13</f>
        <v>2063292.68</v>
      </c>
      <c r="F15" s="35"/>
      <c r="G15" s="35"/>
      <c r="H15" s="32"/>
      <c r="I15" s="32"/>
      <c r="J15" s="32"/>
      <c r="K15" s="32"/>
      <c r="L15" s="34" t="s">
        <v>26</v>
      </c>
      <c r="M15" s="34"/>
      <c r="N15" s="34"/>
      <c r="O15" s="34"/>
      <c r="P15" s="34"/>
      <c r="Q15" s="34"/>
      <c r="R15" s="34"/>
      <c r="S15" s="3"/>
      <c r="T15" s="3"/>
    </row>
    <row r="16" spans="1:22" ht="42" customHeight="1" x14ac:dyDescent="0.2">
      <c r="A16" s="42" t="s">
        <v>27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1:20" s="7" customFormat="1" ht="5.0999999999999996" customHeight="1" x14ac:dyDescent="0.25">
      <c r="A17" s="28"/>
      <c r="B17" s="28"/>
      <c r="C17" s="28"/>
      <c r="D17" s="28"/>
      <c r="E17" s="28"/>
      <c r="F17" s="28"/>
      <c r="G17" s="2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8"/>
      <c r="T17" s="8"/>
    </row>
    <row r="18" spans="1:20" s="7" customFormat="1" ht="35.1" customHeight="1" x14ac:dyDescent="0.25">
      <c r="A18" s="38" t="s">
        <v>28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8"/>
      <c r="T18" s="8"/>
    </row>
    <row r="19" spans="1:20" ht="5.0999999999999996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20" ht="24.95" customHeight="1" x14ac:dyDescent="0.25">
      <c r="A20" s="39" t="s">
        <v>29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20" ht="33" customHeight="1" x14ac:dyDescent="0.2">
      <c r="A21" s="40" t="s">
        <v>35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</row>
    <row r="22" spans="1:20" ht="33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</sheetData>
  <mergeCells count="24">
    <mergeCell ref="A18:R18"/>
    <mergeCell ref="A20:R20"/>
    <mergeCell ref="A21:R22"/>
    <mergeCell ref="A1:R4"/>
    <mergeCell ref="A8:R8"/>
    <mergeCell ref="A5:R5"/>
    <mergeCell ref="A6:R6"/>
    <mergeCell ref="A7:R7"/>
    <mergeCell ref="O13:Q13"/>
    <mergeCell ref="A16:R16"/>
    <mergeCell ref="A9:R9"/>
    <mergeCell ref="A10:A11"/>
    <mergeCell ref="B10:B11"/>
    <mergeCell ref="C10:C11"/>
    <mergeCell ref="D10:D11"/>
    <mergeCell ref="A14:R14"/>
    <mergeCell ref="B15:D15"/>
    <mergeCell ref="E15:G15"/>
    <mergeCell ref="L15:R15"/>
    <mergeCell ref="E10:G10"/>
    <mergeCell ref="H10:J10"/>
    <mergeCell ref="K10:K11"/>
    <mergeCell ref="L10:N10"/>
    <mergeCell ref="O10:R10"/>
  </mergeCells>
  <pageMargins left="0.7" right="0.7" top="0.75" bottom="0.75" header="0.3" footer="0.3"/>
  <pageSetup paperSize="9" scale="4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Дерябин</dc:creator>
  <cp:lastModifiedBy>Василий Дерябин</cp:lastModifiedBy>
  <cp:lastPrinted>2026-10-27T16:10:04Z</cp:lastPrinted>
  <dcterms:created xsi:type="dcterms:W3CDTF">2026-10-27T16:10:54Z</dcterms:created>
  <dcterms:modified xsi:type="dcterms:W3CDTF">2026-10-27T16:13:00Z</dcterms:modified>
</cp:coreProperties>
</file>